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phillips\Documents\2018\10-Oct\"/>
    </mc:Choice>
  </mc:AlternateContent>
  <bookViews>
    <workbookView xWindow="0" yWindow="0" windowWidth="28800" windowHeight="12300"/>
  </bookViews>
  <sheets>
    <sheet name="Line Summary" sheetId="2" r:id="rId1"/>
    <sheet name="Line Takeoff" sheetId="3" r:id="rId2"/>
    <sheet name="Calculations" sheetId="4" r:id="rId3"/>
    <sheet name="Node Summary" sheetId="5" r:id="rId4"/>
    <sheet name="Node Takeoff" sheetId="6" r:id="rId5"/>
  </sheets>
  <calcPr calcId="162913"/>
</workbook>
</file>

<file path=xl/calcChain.xml><?xml version="1.0" encoding="utf-8"?>
<calcChain xmlns="http://schemas.openxmlformats.org/spreadsheetml/2006/main">
  <c r="G12" i="3" l="1"/>
  <c r="O12" i="3"/>
  <c r="P12" i="3"/>
  <c r="Q12" i="3"/>
  <c r="R12" i="3"/>
  <c r="O24" i="3"/>
  <c r="P24" i="3"/>
  <c r="Q24" i="3"/>
  <c r="R24" i="3"/>
  <c r="G35" i="3"/>
  <c r="O35" i="3"/>
  <c r="P35" i="3"/>
  <c r="R35" i="3"/>
  <c r="Q35" i="3" s="1"/>
  <c r="O45" i="3"/>
  <c r="P45" i="3"/>
  <c r="Q45" i="3"/>
  <c r="R45" i="3"/>
  <c r="E103" i="3"/>
  <c r="F103" i="3"/>
  <c r="G103" i="3"/>
  <c r="H103" i="3"/>
  <c r="I103" i="3"/>
  <c r="M103" i="3"/>
  <c r="N103" i="3"/>
  <c r="O103" i="3"/>
  <c r="P103" i="3"/>
  <c r="Q103" i="3"/>
  <c r="R103" i="3"/>
  <c r="O152" i="3"/>
  <c r="P152" i="3"/>
  <c r="Q152" i="3"/>
  <c r="R152" i="3"/>
  <c r="G183" i="3"/>
  <c r="M183" i="3"/>
  <c r="O183" i="3"/>
  <c r="P183" i="3"/>
  <c r="R183" i="3"/>
  <c r="Q183" i="3" s="1"/>
  <c r="E212" i="3"/>
  <c r="F212" i="3"/>
  <c r="G212" i="3"/>
  <c r="H212" i="3"/>
  <c r="I212" i="3"/>
  <c r="M212" i="3"/>
  <c r="N212" i="3"/>
  <c r="O212" i="3"/>
  <c r="P212" i="3"/>
  <c r="Q212" i="3"/>
  <c r="R212" i="3"/>
  <c r="P6" i="4"/>
  <c r="O7" i="4"/>
  <c r="P7" i="4"/>
  <c r="O8" i="4"/>
  <c r="P8" i="4"/>
  <c r="O9" i="4"/>
  <c r="O10" i="4" s="1"/>
  <c r="O11" i="4" s="1"/>
  <c r="O12" i="4" s="1"/>
  <c r="P9" i="4"/>
  <c r="P10" i="4"/>
  <c r="P11" i="4"/>
  <c r="G12" i="4"/>
  <c r="P12" i="4"/>
  <c r="P18" i="4"/>
  <c r="O19" i="4"/>
  <c r="P19" i="4"/>
  <c r="O20" i="4"/>
  <c r="P20" i="4"/>
  <c r="O21" i="4"/>
  <c r="P21" i="4"/>
  <c r="O22" i="4"/>
  <c r="O23" i="4" s="1"/>
  <c r="O24" i="4" s="1"/>
  <c r="P22" i="4"/>
  <c r="P23" i="4"/>
  <c r="P24" i="4"/>
  <c r="P30" i="4"/>
  <c r="O31" i="4"/>
  <c r="O32" i="4" s="1"/>
  <c r="O33" i="4" s="1"/>
  <c r="O34" i="4" s="1"/>
  <c r="O35" i="4" s="1"/>
  <c r="P31" i="4"/>
  <c r="P32" i="4"/>
  <c r="P33" i="4"/>
  <c r="P34" i="4"/>
  <c r="G35" i="4"/>
  <c r="G206" i="4" s="1"/>
  <c r="P35" i="4"/>
  <c r="P41" i="4"/>
  <c r="O42" i="4"/>
  <c r="P42" i="4"/>
  <c r="O43" i="4"/>
  <c r="P43" i="4"/>
  <c r="O44" i="4"/>
  <c r="O45" i="4" s="1"/>
  <c r="O46" i="4" s="1"/>
  <c r="P44" i="4"/>
  <c r="P45" i="4"/>
  <c r="G46" i="4"/>
  <c r="P46" i="4"/>
  <c r="P52" i="4"/>
  <c r="O53" i="4"/>
  <c r="O54" i="4" s="1"/>
  <c r="O55" i="4" s="1"/>
  <c r="O56" i="4" s="1"/>
  <c r="O57" i="4" s="1"/>
  <c r="O58" i="4" s="1"/>
  <c r="O59" i="4" s="1"/>
  <c r="O60" i="4" s="1"/>
  <c r="O61" i="4" s="1"/>
  <c r="O62" i="4" s="1"/>
  <c r="O63" i="4" s="1"/>
  <c r="O64" i="4" s="1"/>
  <c r="O65" i="4" s="1"/>
  <c r="O66" i="4" s="1"/>
  <c r="O67" i="4" s="1"/>
  <c r="O68" i="4" s="1"/>
  <c r="O69" i="4" s="1"/>
  <c r="O70" i="4" s="1"/>
  <c r="O71" i="4" s="1"/>
  <c r="O72" i="4" s="1"/>
  <c r="O73" i="4" s="1"/>
  <c r="O74" i="4" s="1"/>
  <c r="O75" i="4" s="1"/>
  <c r="O76" i="4" s="1"/>
  <c r="O77" i="4" s="1"/>
  <c r="O78" i="4" s="1"/>
  <c r="O79" i="4" s="1"/>
  <c r="O80" i="4" s="1"/>
  <c r="O81" i="4" s="1"/>
  <c r="O82" i="4" s="1"/>
  <c r="O83" i="4" s="1"/>
  <c r="O84" i="4" s="1"/>
  <c r="O85" i="4" s="1"/>
  <c r="O86" i="4" s="1"/>
  <c r="O87" i="4" s="1"/>
  <c r="O88" i="4" s="1"/>
  <c r="O89" i="4" s="1"/>
  <c r="O90" i="4" s="1"/>
  <c r="O91" i="4" s="1"/>
  <c r="O92" i="4" s="1"/>
  <c r="O93" i="4" s="1"/>
  <c r="O94" i="4" s="1"/>
  <c r="O95" i="4" s="1"/>
  <c r="O96" i="4" s="1"/>
  <c r="O97" i="4" s="1"/>
  <c r="O98" i="4" s="1"/>
  <c r="O99" i="4" s="1"/>
  <c r="O100" i="4" s="1"/>
  <c r="O101" i="4" s="1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G101" i="4"/>
  <c r="P101" i="4"/>
  <c r="P107" i="4"/>
  <c r="O108" i="4"/>
  <c r="P108" i="4"/>
  <c r="O109" i="4"/>
  <c r="P109" i="4"/>
  <c r="O110" i="4"/>
  <c r="O111" i="4" s="1"/>
  <c r="O112" i="4" s="1"/>
  <c r="O113" i="4" s="1"/>
  <c r="O114" i="4" s="1"/>
  <c r="O115" i="4" s="1"/>
  <c r="O116" i="4" s="1"/>
  <c r="O117" i="4" s="1"/>
  <c r="O118" i="4" s="1"/>
  <c r="O119" i="4" s="1"/>
  <c r="O120" i="4" s="1"/>
  <c r="O121" i="4" s="1"/>
  <c r="O122" i="4" s="1"/>
  <c r="O123" i="4" s="1"/>
  <c r="O124" i="4" s="1"/>
  <c r="O125" i="4" s="1"/>
  <c r="O126" i="4" s="1"/>
  <c r="O127" i="4" s="1"/>
  <c r="O128" i="4" s="1"/>
  <c r="O129" i="4" s="1"/>
  <c r="O130" i="4" s="1"/>
  <c r="O131" i="4" s="1"/>
  <c r="O132" i="4" s="1"/>
  <c r="O133" i="4" s="1"/>
  <c r="O134" i="4" s="1"/>
  <c r="O135" i="4" s="1"/>
  <c r="O136" i="4" s="1"/>
  <c r="O137" i="4" s="1"/>
  <c r="O138" i="4" s="1"/>
  <c r="O139" i="4" s="1"/>
  <c r="O140" i="4" s="1"/>
  <c r="O141" i="4" s="1"/>
  <c r="O142" i="4" s="1"/>
  <c r="O143" i="4" s="1"/>
  <c r="O144" i="4" s="1"/>
  <c r="O145" i="4" s="1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G145" i="4"/>
  <c r="P145" i="4"/>
  <c r="P151" i="4"/>
  <c r="O152" i="4"/>
  <c r="O153" i="4" s="1"/>
  <c r="O154" i="4" s="1"/>
  <c r="O155" i="4" s="1"/>
  <c r="O156" i="4" s="1"/>
  <c r="O157" i="4" s="1"/>
  <c r="O158" i="4" s="1"/>
  <c r="O159" i="4" s="1"/>
  <c r="O160" i="4" s="1"/>
  <c r="O161" i="4" s="1"/>
  <c r="O162" i="4" s="1"/>
  <c r="O163" i="4" s="1"/>
  <c r="O164" i="4" s="1"/>
  <c r="O165" i="4" s="1"/>
  <c r="O166" i="4" s="1"/>
  <c r="O167" i="4" s="1"/>
  <c r="O168" i="4" s="1"/>
  <c r="O169" i="4" s="1"/>
  <c r="O170" i="4" s="1"/>
  <c r="O171" i="4" s="1"/>
  <c r="O172" i="4" s="1"/>
  <c r="O173" i="4" s="1"/>
  <c r="O174" i="4" s="1"/>
  <c r="O175" i="4" s="1"/>
  <c r="O176" i="4" s="1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G176" i="4"/>
  <c r="P176" i="4"/>
  <c r="P182" i="4"/>
  <c r="G183" i="4"/>
  <c r="J183" i="4"/>
  <c r="J184" i="4" s="1"/>
  <c r="J185" i="4" s="1"/>
  <c r="J186" i="4" s="1"/>
  <c r="J187" i="4" s="1"/>
  <c r="J188" i="4" s="1"/>
  <c r="M183" i="4"/>
  <c r="P183" i="4" s="1"/>
  <c r="O183" i="4"/>
  <c r="O184" i="4" s="1"/>
  <c r="O185" i="4" s="1"/>
  <c r="O186" i="4" s="1"/>
  <c r="O187" i="4" s="1"/>
  <c r="O188" i="4" s="1"/>
  <c r="O189" i="4" s="1"/>
  <c r="O190" i="4" s="1"/>
  <c r="O191" i="4" s="1"/>
  <c r="O192" i="4" s="1"/>
  <c r="O193" i="4" s="1"/>
  <c r="O194" i="4" s="1"/>
  <c r="O195" i="4" s="1"/>
  <c r="O196" i="4" s="1"/>
  <c r="O197" i="4" s="1"/>
  <c r="O198" i="4" s="1"/>
  <c r="O199" i="4" s="1"/>
  <c r="O200" i="4" s="1"/>
  <c r="O201" i="4" s="1"/>
  <c r="O202" i="4" s="1"/>
  <c r="O203" i="4" s="1"/>
  <c r="G184" i="4"/>
  <c r="G185" i="4"/>
  <c r="G186" i="4" s="1"/>
  <c r="G187" i="4" s="1"/>
  <c r="G188" i="4" s="1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G203" i="4"/>
  <c r="P203" i="4"/>
  <c r="D206" i="4"/>
  <c r="E206" i="4"/>
  <c r="J206" i="4"/>
  <c r="M206" i="4"/>
  <c r="P206" i="4"/>
  <c r="G24" i="4"/>
  <c r="N183" i="3"/>
  <c r="I183" i="3"/>
  <c r="H183" i="3"/>
  <c r="F183" i="3"/>
  <c r="E183" i="3"/>
  <c r="N152" i="3"/>
  <c r="M152" i="3"/>
  <c r="I152" i="3"/>
  <c r="H152" i="3"/>
  <c r="G152" i="3"/>
  <c r="F152" i="3"/>
  <c r="E152" i="3"/>
  <c r="N45" i="3"/>
  <c r="M45" i="3"/>
  <c r="I45" i="3"/>
  <c r="H45" i="3"/>
  <c r="G45" i="3"/>
  <c r="F45" i="3"/>
  <c r="E45" i="3"/>
  <c r="N35" i="3"/>
  <c r="M35" i="3"/>
  <c r="I35" i="3"/>
  <c r="H35" i="3"/>
  <c r="F35" i="3"/>
  <c r="E35" i="3"/>
  <c r="N24" i="3"/>
  <c r="M24" i="3"/>
  <c r="I24" i="3"/>
  <c r="H24" i="3"/>
  <c r="G24" i="3"/>
  <c r="F24" i="3"/>
  <c r="E24" i="3"/>
  <c r="N12" i="3"/>
  <c r="M12" i="3"/>
  <c r="I12" i="3"/>
  <c r="H12" i="3"/>
  <c r="F12" i="3"/>
  <c r="E12" i="3"/>
  <c r="E9" i="2"/>
  <c r="D9" i="2"/>
  <c r="C9" i="2"/>
  <c r="B9" i="2"/>
  <c r="O206" i="4" l="1"/>
  <c r="M184" i="4"/>
  <c r="M185" i="4" l="1"/>
  <c r="P184" i="4"/>
  <c r="M186" i="4" l="1"/>
  <c r="P185" i="4"/>
  <c r="M187" i="4" l="1"/>
  <c r="P186" i="4"/>
  <c r="M188" i="4" l="1"/>
  <c r="P188" i="4" s="1"/>
  <c r="P187" i="4"/>
</calcChain>
</file>

<file path=xl/sharedStrings.xml><?xml version="1.0" encoding="utf-8"?>
<sst xmlns="http://schemas.openxmlformats.org/spreadsheetml/2006/main" count="2342" uniqueCount="356">
  <si>
    <t>Utility Line Material Summary</t>
  </si>
  <si>
    <t xml:space="preserve">Utility Network: Storm drainage </t>
  </si>
  <si>
    <t>Node to Node</t>
  </si>
  <si>
    <t>End to End</t>
  </si>
  <si>
    <t>Site Improvement</t>
  </si>
  <si>
    <t>Horizontal Length</t>
  </si>
  <si>
    <t>Slope Length</t>
  </si>
  <si>
    <t>Pipe - PVC Gravity Sewer: 12" PVC</t>
  </si>
  <si>
    <t>Pipe - RCP: 18" RCP</t>
  </si>
  <si>
    <t>Pipe - RCP: 24" RCP</t>
  </si>
  <si>
    <t>Pipe - RCP: 36" RCP</t>
  </si>
  <si>
    <t>Total</t>
  </si>
  <si>
    <t>Utility Line Takeoff</t>
  </si>
  <si>
    <t>Utility Run: 4' X 4' Inlet Tie  (Patriot Village)</t>
  </si>
  <si>
    <t>Beginning Station</t>
  </si>
  <si>
    <t>Length (ft)</t>
  </si>
  <si>
    <t>Template</t>
  </si>
  <si>
    <t>Depth Zone Quantities (Node to Node)</t>
  </si>
  <si>
    <t>Utility Line Unit Cost</t>
  </si>
  <si>
    <t>Earthen (Select) : #57 Stone</t>
  </si>
  <si>
    <t>Earthen : Topsoil</t>
  </si>
  <si>
    <t>Bid Unit Cost</t>
  </si>
  <si>
    <t>Total Cost</t>
  </si>
  <si>
    <t>&lt; 0.0 ft</t>
  </si>
  <si>
    <t>0.0 - 4.0 ft</t>
  </si>
  <si>
    <t>4.0 - 8.0 ft</t>
  </si>
  <si>
    <t>&gt; 8.0 ft</t>
  </si>
  <si>
    <t>(yd³)</t>
  </si>
  <si>
    <t>Unit Cost</t>
  </si>
  <si>
    <t>0+00.00</t>
  </si>
  <si>
    <t>12" PVC</t>
  </si>
  <si>
    <t xml:space="preserve">0.00 48" wide  8ft Trench boxes </t>
  </si>
  <si>
    <t>0+02.54</t>
  </si>
  <si>
    <t>0+03.08</t>
  </si>
  <si>
    <t>0+13.19</t>
  </si>
  <si>
    <t>0+15.69</t>
  </si>
  <si>
    <t>0+20.19</t>
  </si>
  <si>
    <t>Totals:</t>
  </si>
  <si>
    <t>Utility Run: Lateral A  (Patriot Village)</t>
  </si>
  <si>
    <t>18" RCP</t>
  </si>
  <si>
    <t>0+03.58</t>
  </si>
  <si>
    <t>0+04.42</t>
  </si>
  <si>
    <t>0+05.17</t>
  </si>
  <si>
    <t>0+06.92</t>
  </si>
  <si>
    <t>0+11.42</t>
  </si>
  <si>
    <t>Utility Run: Lateral B  (Patriot Village)</t>
  </si>
  <si>
    <t>0+00.01</t>
  </si>
  <si>
    <t>0+02.51</t>
  </si>
  <si>
    <t>0+05.00</t>
  </si>
  <si>
    <t>0+07.01</t>
  </si>
  <si>
    <t>Utility Run: Lateral C  (Patriot Village)</t>
  </si>
  <si>
    <t>0+02.48</t>
  </si>
  <si>
    <t>0+06.98</t>
  </si>
  <si>
    <t>Utility Run: Run - 1 Maxman View Storm Sewer  (Patriot Village)</t>
  </si>
  <si>
    <t>8+66.78</t>
  </si>
  <si>
    <t>36" RCP</t>
  </si>
  <si>
    <t xml:space="preserve">866.78 48" wide  8ft Trench boxes </t>
  </si>
  <si>
    <t>8+71.03</t>
  </si>
  <si>
    <t>8+73.28</t>
  </si>
  <si>
    <t>8+91.78</t>
  </si>
  <si>
    <t>9+16.78</t>
  </si>
  <si>
    <t>9+35.83</t>
  </si>
  <si>
    <t>9+37.41</t>
  </si>
  <si>
    <t>9+41.00</t>
  </si>
  <si>
    <t>9+41.78</t>
  </si>
  <si>
    <t>9+44.58</t>
  </si>
  <si>
    <t>9+46.16</t>
  </si>
  <si>
    <t>9+66.78</t>
  </si>
  <si>
    <t>9+91.78</t>
  </si>
  <si>
    <t>10+01.75</t>
  </si>
  <si>
    <t>10+04.75</t>
  </si>
  <si>
    <t>10+09.75</t>
  </si>
  <si>
    <t>10+14.75</t>
  </si>
  <si>
    <t>10+16.78</t>
  </si>
  <si>
    <t>10+17.75</t>
  </si>
  <si>
    <t>10+41.78</t>
  </si>
  <si>
    <t>10+66.78</t>
  </si>
  <si>
    <t>10+91.78</t>
  </si>
  <si>
    <t>11+16.78</t>
  </si>
  <si>
    <t>11+41.78</t>
  </si>
  <si>
    <t>11+66.78</t>
  </si>
  <si>
    <t>11+91.78</t>
  </si>
  <si>
    <t>12+16.78</t>
  </si>
  <si>
    <t>12+41.78</t>
  </si>
  <si>
    <t>12+66.78</t>
  </si>
  <si>
    <t>12+91.78</t>
  </si>
  <si>
    <t>13+16.78</t>
  </si>
  <si>
    <t>13+41.78</t>
  </si>
  <si>
    <t>13+66.78</t>
  </si>
  <si>
    <t>13+91.78</t>
  </si>
  <si>
    <t>14+16.78</t>
  </si>
  <si>
    <t>14+41.78</t>
  </si>
  <si>
    <t>14+44.93</t>
  </si>
  <si>
    <t>14+47.93</t>
  </si>
  <si>
    <t>14+52.93</t>
  </si>
  <si>
    <t>14+57.93</t>
  </si>
  <si>
    <t>14+60.93</t>
  </si>
  <si>
    <t>14+66.78</t>
  </si>
  <si>
    <t>14+91.78</t>
  </si>
  <si>
    <t>15+16.78</t>
  </si>
  <si>
    <t>15+41.78</t>
  </si>
  <si>
    <t>15+66.78</t>
  </si>
  <si>
    <t>15+91.78</t>
  </si>
  <si>
    <t>16+16.78</t>
  </si>
  <si>
    <t>16+41.78</t>
  </si>
  <si>
    <t>16+45.99</t>
  </si>
  <si>
    <t>16+48.49</t>
  </si>
  <si>
    <t>16+52.99</t>
  </si>
  <si>
    <t>&lt;Multiple&gt;</t>
  </si>
  <si>
    <t>Utility Run: Run - 2 Duty View Storm Sewer  (Patriot Village)</t>
  </si>
  <si>
    <t>10+09.86</t>
  </si>
  <si>
    <t xml:space="preserve">1009.86 48" wide  8ft Trench boxes </t>
  </si>
  <si>
    <t>10+14.86</t>
  </si>
  <si>
    <t>10+17.86</t>
  </si>
  <si>
    <t>10+30.46</t>
  </si>
  <si>
    <t>10+33.46</t>
  </si>
  <si>
    <t>10+34.86</t>
  </si>
  <si>
    <t>10+38.46</t>
  </si>
  <si>
    <t>24" RCP</t>
  </si>
  <si>
    <t>10+43.46</t>
  </si>
  <si>
    <t>10+46.46</t>
  </si>
  <si>
    <t>10+59.86</t>
  </si>
  <si>
    <t>10+84.86</t>
  </si>
  <si>
    <t>10+98.70</t>
  </si>
  <si>
    <t>10+99.25</t>
  </si>
  <si>
    <t>11+01.79</t>
  </si>
  <si>
    <t>11+04.33</t>
  </si>
  <si>
    <t>11+04.87</t>
  </si>
  <si>
    <t>11+09.86</t>
  </si>
  <si>
    <t>11+34.86</t>
  </si>
  <si>
    <t>11+59.86</t>
  </si>
  <si>
    <t>11+84.86</t>
  </si>
  <si>
    <t>12+09.86</t>
  </si>
  <si>
    <t>12+34.86</t>
  </si>
  <si>
    <t>12+42.38</t>
  </si>
  <si>
    <t>12+42.93</t>
  </si>
  <si>
    <t>12+45.47</t>
  </si>
  <si>
    <t>12+47.14</t>
  </si>
  <si>
    <t>12+48.01</t>
  </si>
  <si>
    <t>12+48.55</t>
  </si>
  <si>
    <t>12+49.64</t>
  </si>
  <si>
    <t>12+54.14</t>
  </si>
  <si>
    <t>12+58.64</t>
  </si>
  <si>
    <t>12+59.86</t>
  </si>
  <si>
    <t>12+61.14</t>
  </si>
  <si>
    <t>12+84.86</t>
  </si>
  <si>
    <t>13+01.90</t>
  </si>
  <si>
    <t>13+02.44</t>
  </si>
  <si>
    <t>13+04.98</t>
  </si>
  <si>
    <t>13+07.53</t>
  </si>
  <si>
    <t>13+08.07</t>
  </si>
  <si>
    <t>13+09.86</t>
  </si>
  <si>
    <t>13+16.57</t>
  </si>
  <si>
    <t>13+19.07</t>
  </si>
  <si>
    <t>13+23.57</t>
  </si>
  <si>
    <t>Utility Run: Run - 3  Duty View W Storm Sewer  (Patriot Village)</t>
  </si>
  <si>
    <t>11+52.54</t>
  </si>
  <si>
    <t xml:space="preserve">1152.54 48" wide  8ft Trench boxes </t>
  </si>
  <si>
    <t>11+56.79</t>
  </si>
  <si>
    <t>11+59.04</t>
  </si>
  <si>
    <t>11+77.54</t>
  </si>
  <si>
    <t>11+91.77</t>
  </si>
  <si>
    <t>11+93.35</t>
  </si>
  <si>
    <t>11+96.93</t>
  </si>
  <si>
    <t>12+00.52</t>
  </si>
  <si>
    <t>12+02.10</t>
  </si>
  <si>
    <t>12+02.54</t>
  </si>
  <si>
    <t>12+27.54</t>
  </si>
  <si>
    <t>12+52.54</t>
  </si>
  <si>
    <t>12+77.54</t>
  </si>
  <si>
    <t>13+02.54</t>
  </si>
  <si>
    <t>13+27.54</t>
  </si>
  <si>
    <t>13+52.54</t>
  </si>
  <si>
    <t>13+77.54</t>
  </si>
  <si>
    <t>14+02.54</t>
  </si>
  <si>
    <t>14+27.54</t>
  </si>
  <si>
    <t>14+52.54</t>
  </si>
  <si>
    <t>14+77.54</t>
  </si>
  <si>
    <t>15+02.54</t>
  </si>
  <si>
    <t>15+14.72</t>
  </si>
  <si>
    <t>15+17.22</t>
  </si>
  <si>
    <t>15+21.72</t>
  </si>
  <si>
    <t>Utility Run: Widefield Dr. Storm Sewer   (Patriot Village)</t>
  </si>
  <si>
    <t>16+09.70</t>
  </si>
  <si>
    <t xml:space="preserve">1609.70 48" wide  8ft Trench boxes </t>
  </si>
  <si>
    <t>-</t>
  </si>
  <si>
    <t>16+15.20</t>
  </si>
  <si>
    <t>16+18.70</t>
  </si>
  <si>
    <t>16+34.70</t>
  </si>
  <si>
    <t>16+59.70</t>
  </si>
  <si>
    <t>16+84.70</t>
  </si>
  <si>
    <t>17+03.96</t>
  </si>
  <si>
    <t>17+07.46</t>
  </si>
  <si>
    <t>17+09.70</t>
  </si>
  <si>
    <t>17+12.96</t>
  </si>
  <si>
    <t>17+18.46</t>
  </si>
  <si>
    <t>17+21.96</t>
  </si>
  <si>
    <t>17+34.70</t>
  </si>
  <si>
    <t>17+35.95</t>
  </si>
  <si>
    <t>17+39.45</t>
  </si>
  <si>
    <t>17+44.95</t>
  </si>
  <si>
    <t>17+50.45</t>
  </si>
  <si>
    <t>17+53.95</t>
  </si>
  <si>
    <t>17+59.70</t>
  </si>
  <si>
    <t>17+84.70</t>
  </si>
  <si>
    <t>17+89.28</t>
  </si>
  <si>
    <t>17+93.94</t>
  </si>
  <si>
    <t>18+00.61</t>
  </si>
  <si>
    <t>Summary of All Runs</t>
  </si>
  <si>
    <t>Total Length (ft)</t>
  </si>
  <si>
    <t>Note: All distances reported on this tab are from node center (insertion point) to node center, regardless of the specified 'end type' for the pipe site improvement).</t>
  </si>
  <si>
    <t>Utility Line Takeoff Calculations</t>
  </si>
  <si>
    <t>From Station (ft)</t>
  </si>
  <si>
    <t>To Station (ft)</t>
  </si>
  <si>
    <t>Bank Cut Area (ft²)</t>
  </si>
  <si>
    <t>Instantaneous Bank Cut Available (yd³)</t>
  </si>
  <si>
    <t>Accumulated Bank Cut Available (yd³)</t>
  </si>
  <si>
    <t>Utility Line</t>
  </si>
  <si>
    <t>Compacted Excess/Deficit (yd³)</t>
  </si>
  <si>
    <t>Area (ft²)</t>
  </si>
  <si>
    <t>Accumulated (yd³)</t>
  </si>
  <si>
    <t>Displaced (ft²)</t>
  </si>
  <si>
    <t>-0+02.54</t>
  </si>
  <si>
    <t>0+24.69</t>
  </si>
  <si>
    <t>-0+03.58</t>
  </si>
  <si>
    <t>0+15.92</t>
  </si>
  <si>
    <t>-0+05.00</t>
  </si>
  <si>
    <t>0+08.00</t>
  </si>
  <si>
    <t>0+11.51</t>
  </si>
  <si>
    <t>-0+00.02</t>
  </si>
  <si>
    <t>0+11.48</t>
  </si>
  <si>
    <t>8+62.53</t>
  </si>
  <si>
    <t>8+75.00</t>
  </si>
  <si>
    <t>9+00.00</t>
  </si>
  <si>
    <t>9+25.00</t>
  </si>
  <si>
    <t>9+50.00</t>
  </si>
  <si>
    <t>9+75.00</t>
  </si>
  <si>
    <t>10+00.00</t>
  </si>
  <si>
    <t>10+25.00</t>
  </si>
  <si>
    <t>10+50.00</t>
  </si>
  <si>
    <t>10+75.00</t>
  </si>
  <si>
    <t>11+00.00</t>
  </si>
  <si>
    <t>11+25.00</t>
  </si>
  <si>
    <t>11+50.00</t>
  </si>
  <si>
    <t>11+75.00</t>
  </si>
  <si>
    <t>12+00.00</t>
  </si>
  <si>
    <t>12+25.00</t>
  </si>
  <si>
    <t>12+50.00</t>
  </si>
  <si>
    <t>12+75.00</t>
  </si>
  <si>
    <t>13+00.00</t>
  </si>
  <si>
    <t>13+25.00</t>
  </si>
  <si>
    <t>13+50.00</t>
  </si>
  <si>
    <t>13+75.00</t>
  </si>
  <si>
    <t>14+00.00</t>
  </si>
  <si>
    <t>14+25.00</t>
  </si>
  <si>
    <t>14+50.00</t>
  </si>
  <si>
    <t>14+75.00</t>
  </si>
  <si>
    <t>15+00.00</t>
  </si>
  <si>
    <t>15+25.00</t>
  </si>
  <si>
    <t>15+50.00</t>
  </si>
  <si>
    <t>15+75.00</t>
  </si>
  <si>
    <t>16+00.00</t>
  </si>
  <si>
    <t>16+25.00</t>
  </si>
  <si>
    <t>16+50.00</t>
  </si>
  <si>
    <t>16+57.49</t>
  </si>
  <si>
    <t>10+04.86</t>
  </si>
  <si>
    <t>13+28.07</t>
  </si>
  <si>
    <t>11+48.29</t>
  </si>
  <si>
    <t>15+26.22</t>
  </si>
  <si>
    <t>16+04.20</t>
  </si>
  <si>
    <t>16+75.00</t>
  </si>
  <si>
    <t>17+00.00</t>
  </si>
  <si>
    <t>17+25.00</t>
  </si>
  <si>
    <t>17+50.00</t>
  </si>
  <si>
    <t>17+75.00</t>
  </si>
  <si>
    <t>18+00.00</t>
  </si>
  <si>
    <t>18+07.28</t>
  </si>
  <si>
    <t>Network Totals</t>
  </si>
  <si>
    <t>Utility Node Material Summary</t>
  </si>
  <si>
    <t>Node Type</t>
  </si>
  <si>
    <t>Count</t>
  </si>
  <si>
    <t>Design Total Height</t>
  </si>
  <si>
    <t>Headwall</t>
  </si>
  <si>
    <t>Node - Cir. Headwall: 36" Headwall</t>
  </si>
  <si>
    <t>Junction Box</t>
  </si>
  <si>
    <t xml:space="preserve">Node - Junction Box: 12' X 4' Type R Inlet </t>
  </si>
  <si>
    <t>Node - Junction Box: 15' X 4' Type R Inlet</t>
  </si>
  <si>
    <t xml:space="preserve">Node - Junction Box: 18' X 4' Type R Inlet </t>
  </si>
  <si>
    <t>Node - Junction Box: 24" X 12" "Y"</t>
  </si>
  <si>
    <t xml:space="preserve">Node - Junction Box: 36" 45 Deg Bend </t>
  </si>
  <si>
    <t>Node - Junction Box: 36" X 18" "Y"</t>
  </si>
  <si>
    <t>Node - Junction Box: 4' x 4' Inlet</t>
  </si>
  <si>
    <t xml:space="preserve">Node - Junction Box: 5' X 4' CDOT Type C Inlet </t>
  </si>
  <si>
    <t>Node - Junction Box: 8'x8'</t>
  </si>
  <si>
    <t>Eccentric Manhole</t>
  </si>
  <si>
    <t>Node - Manhole: 60" Conc. Manhole</t>
  </si>
  <si>
    <t>Node - Manhole: 72" Conc. Manhole</t>
  </si>
  <si>
    <t>Utility Node Information</t>
  </si>
  <si>
    <t>Node Definition</t>
  </si>
  <si>
    <t>Utility Run</t>
  </si>
  <si>
    <t>Station</t>
  </si>
  <si>
    <t>Node Name</t>
  </si>
  <si>
    <t>Description</t>
  </si>
  <si>
    <t>Existing</t>
  </si>
  <si>
    <t>Type</t>
  </si>
  <si>
    <t>Invert Elevation</t>
  </si>
  <si>
    <t>Rim Elevation</t>
  </si>
  <si>
    <t>Design Height</t>
  </si>
  <si>
    <t>Volume (yd³)</t>
  </si>
  <si>
    <t>4' X 4' Inlet Tie</t>
  </si>
  <si>
    <t>24" X 12" "Y"</t>
  </si>
  <si>
    <t>No</t>
  </si>
  <si>
    <t>4' X 4' Inlet (2)</t>
  </si>
  <si>
    <t>4' x 4' Inlet</t>
  </si>
  <si>
    <t>Subtotal</t>
  </si>
  <si>
    <t>Lateral A</t>
  </si>
  <si>
    <t>36" X 18" "Y"</t>
  </si>
  <si>
    <t xml:space="preserve">DP-6 15' X 4' Type R Inlet </t>
  </si>
  <si>
    <t>15' X 4' Type R Inlet</t>
  </si>
  <si>
    <t>Lateral B</t>
  </si>
  <si>
    <t>DP-2a</t>
  </si>
  <si>
    <t>5' DIA MD Type 1</t>
  </si>
  <si>
    <t>60" Conc. Manhole</t>
  </si>
  <si>
    <t xml:space="preserve">DP-2 12' X 4' Type R Inlet </t>
  </si>
  <si>
    <t xml:space="preserve">12' X 4' Type R Inlet </t>
  </si>
  <si>
    <t>Lateral C</t>
  </si>
  <si>
    <t xml:space="preserve">DP-5a </t>
  </si>
  <si>
    <t>5' Dia MH Type 1</t>
  </si>
  <si>
    <t>DP-5 15' X 4' Type R Inlet</t>
  </si>
  <si>
    <t>Run - 1 Maxman View Storm Sewer</t>
  </si>
  <si>
    <t>OUTFALL, 36" END SECTION</t>
  </si>
  <si>
    <t>36" Headwall</t>
  </si>
  <si>
    <t>****</t>
  </si>
  <si>
    <t>Duplicate</t>
  </si>
  <si>
    <t>DP-5b</t>
  </si>
  <si>
    <t xml:space="preserve">DP-1 5' X 4' CDOT Type C Inlet </t>
  </si>
  <si>
    <t xml:space="preserve">CDOT Type C Inlet     M-604-10 w/closed mesh grate  </t>
  </si>
  <si>
    <t xml:space="preserve">5' X 4' CDOT Type C Inlet </t>
  </si>
  <si>
    <t>Run - 2 Duty View Storm Sewer</t>
  </si>
  <si>
    <t xml:space="preserve">24" 45 Deg Prefab Bend </t>
  </si>
  <si>
    <t xml:space="preserve">DP-3 18' X 4' Type R Inlet </t>
  </si>
  <si>
    <t xml:space="preserve">18' X 4' Type R Inlet </t>
  </si>
  <si>
    <t xml:space="preserve">12" 45 Deg Prefab Bend </t>
  </si>
  <si>
    <t>4' X 4' Inlet</t>
  </si>
  <si>
    <t>Run - 3  Duty View W Storm Sewer</t>
  </si>
  <si>
    <t xml:space="preserve">1 Outflow 36" HDPE STM </t>
  </si>
  <si>
    <t>2 45 Deg Bend</t>
  </si>
  <si>
    <t xml:space="preserve">36" 45 Deg Bend </t>
  </si>
  <si>
    <t xml:space="preserve">3 CDOT Type D Inlet </t>
  </si>
  <si>
    <t xml:space="preserve">Widefield Dr. Storm Sewer </t>
  </si>
  <si>
    <t>7 STM MH-2 6' Dia</t>
  </si>
  <si>
    <t>72" Conc. Manhole</t>
  </si>
  <si>
    <t>6 Type 1 MH-3 6' Dia</t>
  </si>
  <si>
    <t xml:space="preserve">5 Type 1 MH-4 6' Dia </t>
  </si>
  <si>
    <t>4 Outlet 8' X 8'</t>
  </si>
  <si>
    <t>8'x8'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</si>
</sst>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8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FF"/>
      <name val="Calibri"/>
      <family val="2"/>
    </font>
    <font>
      <sz val="11"/>
      <color rgb="FFFF0000"/>
      <name val="Calibri"/>
      <family val="2"/>
    </font>
    <font>
      <sz val="11"/>
      <color rgb="FF0000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BC2E6"/>
        <bgColor rgb="FF9BC2E6"/>
      </patternFill>
    </fill>
    <fill>
      <patternFill patternType="solid">
        <fgColor rgb="FFD3D3D3"/>
        <bgColor rgb="FFD3D3D3"/>
      </patternFill>
    </fill>
    <fill>
      <patternFill patternType="solid">
        <fgColor rgb="FFDDEBF7"/>
        <bgColor rgb="FFDDEBF7"/>
      </patternFill>
    </fill>
    <fill>
      <patternFill patternType="solid">
        <fgColor rgb="FFD9D9D9"/>
        <bgColor rgb="FFD9D9D9"/>
      </patternFill>
    </fill>
    <fill>
      <patternFill patternType="solid">
        <fgColor rgb="FFFFFFE0"/>
        <bgColor rgb="FFFFFFE0"/>
      </patternFill>
    </fill>
    <fill>
      <patternFill patternType="solid">
        <fgColor rgb="FFFDF6B1"/>
        <bgColor rgb="FFFDF6B1"/>
      </patternFill>
    </fill>
    <fill>
      <patternFill patternType="solid">
        <fgColor rgb="FFC8D5B4"/>
        <bgColor rgb="FFC8D5B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NumberFormat="0" applyBorder="0" applyAlignment="0"/>
  </cellStyleXfs>
  <cellXfs count="76">
    <xf numFmtId="0" fontId="0" fillId="0" borderId="0" xfId="0" applyFill="1" applyProtection="1"/>
    <xf numFmtId="0" fontId="0" fillId="0" borderId="0" xfId="0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0" fillId="5" borderId="1" xfId="0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8" borderId="4" xfId="0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center" wrapText="1"/>
    </xf>
    <xf numFmtId="0" fontId="5" fillId="8" borderId="1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 wrapText="1"/>
    </xf>
    <xf numFmtId="0" fontId="4" fillId="7" borderId="4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horizontal="left"/>
    </xf>
    <xf numFmtId="49" fontId="2" fillId="0" borderId="0" xfId="0" applyNumberFormat="1" applyFont="1" applyFill="1" applyAlignment="1" applyProtection="1">
      <alignment horizontal="left"/>
    </xf>
    <xf numFmtId="0" fontId="0" fillId="5" borderId="5" xfId="0" applyFill="1" applyBorder="1" applyAlignment="1" applyProtection="1">
      <alignment horizontal="center" wrapText="1"/>
    </xf>
    <xf numFmtId="0" fontId="0" fillId="5" borderId="5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/>
    </xf>
    <xf numFmtId="0" fontId="0" fillId="5" borderId="5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/>
    </xf>
    <xf numFmtId="0" fontId="0" fillId="5" borderId="4" xfId="0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4" borderId="4" xfId="0" applyFill="1" applyBorder="1" applyProtection="1"/>
    <xf numFmtId="49" fontId="0" fillId="4" borderId="5" xfId="0" applyNumberFormat="1" applyFill="1" applyBorder="1" applyAlignment="1" applyProtection="1">
      <alignment horizontal="left"/>
    </xf>
    <xf numFmtId="49" fontId="0" fillId="0" borderId="5" xfId="0" applyNumberFormat="1" applyFill="1" applyBorder="1" applyAlignment="1" applyProtection="1">
      <alignment horizontal="left"/>
    </xf>
    <xf numFmtId="164" fontId="0" fillId="0" borderId="5" xfId="0" applyNumberFormat="1" applyFill="1" applyBorder="1" applyAlignment="1" applyProtection="1">
      <alignment horizontal="right"/>
    </xf>
    <xf numFmtId="49" fontId="2" fillId="0" borderId="5" xfId="0" applyNumberFormat="1" applyFont="1" applyFill="1" applyBorder="1" applyAlignment="1" applyProtection="1">
      <alignment horizontal="left"/>
    </xf>
    <xf numFmtId="164" fontId="2" fillId="0" borderId="5" xfId="0" applyNumberFormat="1" applyFont="1" applyFill="1" applyBorder="1" applyProtection="1"/>
    <xf numFmtId="0" fontId="0" fillId="5" borderId="5" xfId="0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49" fontId="0" fillId="0" borderId="5" xfId="0" applyNumberFormat="1" applyFill="1" applyBorder="1" applyAlignment="1" applyProtection="1">
      <alignment horizontal="right"/>
    </xf>
    <xf numFmtId="49" fontId="0" fillId="0" borderId="5" xfId="0" applyNumberFormat="1" applyFill="1" applyBorder="1" applyAlignment="1" applyProtection="1">
      <alignment horizontal="center"/>
    </xf>
    <xf numFmtId="2" fontId="0" fillId="0" borderId="5" xfId="0" applyNumberFormat="1" applyFill="1" applyBorder="1" applyAlignment="1" applyProtection="1">
      <alignment horizontal="right"/>
    </xf>
    <xf numFmtId="165" fontId="0" fillId="0" borderId="5" xfId="0" applyNumberFormat="1" applyFill="1" applyBorder="1" applyAlignment="1" applyProtection="1">
      <alignment horizontal="right"/>
    </xf>
    <xf numFmtId="0" fontId="0" fillId="0" borderId="5" xfId="0" applyFill="1" applyBorder="1" applyProtection="1"/>
    <xf numFmtId="49" fontId="2" fillId="6" borderId="5" xfId="0" applyNumberFormat="1" applyFont="1" applyFill="1" applyBorder="1" applyAlignment="1" applyProtection="1">
      <alignment horizontal="center"/>
    </xf>
    <xf numFmtId="164" fontId="0" fillId="6" borderId="5" xfId="0" applyNumberFormat="1" applyFill="1" applyBorder="1" applyAlignment="1" applyProtection="1">
      <alignment horizontal="right"/>
    </xf>
    <xf numFmtId="49" fontId="0" fillId="6" borderId="5" xfId="0" applyNumberFormat="1" applyFill="1" applyBorder="1" applyAlignment="1" applyProtection="1">
      <alignment horizontal="center"/>
    </xf>
    <xf numFmtId="164" fontId="0" fillId="6" borderId="5" xfId="0" applyNumberFormat="1" applyFill="1" applyBorder="1" applyProtection="1"/>
    <xf numFmtId="2" fontId="0" fillId="6" borderId="5" xfId="0" applyNumberFormat="1" applyFill="1" applyBorder="1" applyAlignment="1" applyProtection="1">
      <alignment horizontal="right"/>
    </xf>
    <xf numFmtId="165" fontId="0" fillId="6" borderId="5" xfId="0" applyNumberFormat="1" applyFill="1" applyBorder="1" applyProtection="1"/>
    <xf numFmtId="2" fontId="0" fillId="6" borderId="5" xfId="0" applyNumberFormat="1" applyFill="1" applyBorder="1" applyProtection="1"/>
    <xf numFmtId="0" fontId="0" fillId="0" borderId="5" xfId="0" applyFill="1" applyBorder="1" applyAlignment="1" applyProtection="1">
      <alignment horizontal="center"/>
    </xf>
    <xf numFmtId="0" fontId="4" fillId="7" borderId="5" xfId="0" applyFont="1" applyFill="1" applyBorder="1" applyAlignment="1" applyProtection="1">
      <alignment horizontal="center" wrapText="1"/>
    </xf>
    <xf numFmtId="0" fontId="5" fillId="8" borderId="5" xfId="0" applyFont="1" applyFill="1" applyBorder="1" applyAlignment="1" applyProtection="1">
      <alignment horizontal="center" wrapText="1"/>
    </xf>
    <xf numFmtId="0" fontId="2" fillId="8" borderId="5" xfId="0" applyFont="1" applyFill="1" applyBorder="1" applyAlignment="1" applyProtection="1">
      <alignment horizontal="center" wrapText="1"/>
    </xf>
    <xf numFmtId="165" fontId="6" fillId="7" borderId="5" xfId="0" applyNumberFormat="1" applyFont="1" applyFill="1" applyBorder="1" applyAlignment="1" applyProtection="1">
      <alignment horizontal="right"/>
    </xf>
    <xf numFmtId="0" fontId="7" fillId="8" borderId="5" xfId="0" applyFont="1" applyFill="1" applyBorder="1" applyAlignment="1" applyProtection="1">
      <alignment horizontal="right"/>
    </xf>
    <xf numFmtId="165" fontId="7" fillId="8" borderId="5" xfId="0" applyNumberFormat="1" applyFont="1" applyFill="1" applyBorder="1" applyAlignment="1" applyProtection="1">
      <alignment horizontal="right"/>
    </xf>
    <xf numFmtId="165" fontId="0" fillId="8" borderId="5" xfId="0" applyNumberFormat="1" applyFill="1" applyBorder="1" applyAlignment="1" applyProtection="1">
      <alignment horizontal="right"/>
    </xf>
    <xf numFmtId="0" fontId="0" fillId="7" borderId="5" xfId="0" applyFill="1" applyBorder="1" applyAlignment="1" applyProtection="1">
      <alignment horizontal="center"/>
    </xf>
    <xf numFmtId="0" fontId="6" fillId="7" borderId="5" xfId="0" applyFont="1" applyFill="1" applyBorder="1" applyAlignment="1" applyProtection="1">
      <alignment horizontal="center"/>
    </xf>
    <xf numFmtId="0" fontId="6" fillId="7" borderId="5" xfId="0" applyFont="1" applyFill="1" applyBorder="1" applyProtection="1"/>
    <xf numFmtId="165" fontId="6" fillId="7" borderId="5" xfId="0" applyNumberFormat="1" applyFont="1" applyFill="1" applyBorder="1" applyProtection="1"/>
    <xf numFmtId="165" fontId="4" fillId="7" borderId="5" xfId="0" applyNumberFormat="1" applyFont="1" applyFill="1" applyBorder="1" applyProtection="1"/>
    <xf numFmtId="0" fontId="0" fillId="7" borderId="5" xfId="0" applyFill="1" applyBorder="1" applyProtection="1"/>
    <xf numFmtId="165" fontId="2" fillId="7" borderId="5" xfId="0" applyNumberFormat="1" applyFont="1" applyFill="1" applyBorder="1" applyProtection="1"/>
    <xf numFmtId="0" fontId="7" fillId="8" borderId="5" xfId="0" applyFont="1" applyFill="1" applyBorder="1" applyProtection="1"/>
    <xf numFmtId="165" fontId="5" fillId="8" borderId="5" xfId="0" applyNumberFormat="1" applyFont="1" applyFill="1" applyBorder="1" applyProtection="1"/>
    <xf numFmtId="0" fontId="0" fillId="8" borderId="5" xfId="0" applyFill="1" applyBorder="1" applyProtection="1"/>
    <xf numFmtId="165" fontId="2" fillId="8" borderId="5" xfId="0" applyNumberFormat="1" applyFont="1" applyFill="1" applyBorder="1" applyProtection="1"/>
    <xf numFmtId="0" fontId="0" fillId="0" borderId="5" xfId="0" applyFill="1" applyBorder="1" applyAlignment="1" applyProtection="1">
      <alignment horizontal="right"/>
    </xf>
    <xf numFmtId="0" fontId="2" fillId="0" borderId="5" xfId="0" applyFont="1" applyFill="1" applyBorder="1" applyAlignment="1" applyProtection="1">
      <alignment horizontal="center"/>
    </xf>
    <xf numFmtId="164" fontId="2" fillId="0" borderId="5" xfId="0" applyNumberFormat="1" applyFont="1" applyFill="1" applyBorder="1" applyAlignment="1" applyProtection="1">
      <alignment horizontal="right"/>
    </xf>
    <xf numFmtId="165" fontId="2" fillId="0" borderId="0" xfId="0" applyNumberFormat="1" applyFont="1" applyFill="1" applyAlignment="1" applyProtection="1">
      <alignment horizontal="right"/>
    </xf>
    <xf numFmtId="0" fontId="4" fillId="0" borderId="5" xfId="0" applyFont="1" applyFill="1" applyBorder="1" applyAlignment="1" applyProtection="1">
      <alignment horizontal="right"/>
    </xf>
    <xf numFmtId="0" fontId="4" fillId="0" borderId="5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164" fontId="2" fillId="0" borderId="0" xfId="0" applyNumberFormat="1" applyFont="1" applyFill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sqref="A1:E1"/>
    </sheetView>
  </sheetViews>
  <sheetFormatPr defaultRowHeight="15" x14ac:dyDescent="0.25"/>
  <cols>
    <col min="1" max="1" width="30.7109375" customWidth="1"/>
    <col min="2" max="4" width="18.28515625" customWidth="1"/>
    <col min="5" max="5" width="17.28515625" customWidth="1"/>
  </cols>
  <sheetData>
    <row r="1" spans="1:5" x14ac:dyDescent="0.25">
      <c r="A1" s="28" t="s">
        <v>0</v>
      </c>
      <c r="B1" s="27" t="s">
        <v>0</v>
      </c>
      <c r="C1" s="27" t="s">
        <v>0</v>
      </c>
      <c r="D1" s="27" t="s">
        <v>0</v>
      </c>
      <c r="E1" s="26" t="s">
        <v>0</v>
      </c>
    </row>
    <row r="2" spans="1:5" x14ac:dyDescent="0.25">
      <c r="A2" s="25" t="s">
        <v>1</v>
      </c>
      <c r="B2" s="27" t="s">
        <v>1</v>
      </c>
      <c r="C2" s="27" t="s">
        <v>1</v>
      </c>
      <c r="D2" s="27" t="s">
        <v>1</v>
      </c>
      <c r="E2" s="26" t="s">
        <v>1</v>
      </c>
    </row>
    <row r="3" spans="1:5" x14ac:dyDescent="0.25">
      <c r="A3" s="29"/>
      <c r="B3" s="24" t="s">
        <v>2</v>
      </c>
      <c r="C3" s="23" t="s">
        <v>2</v>
      </c>
      <c r="D3" s="24" t="s">
        <v>3</v>
      </c>
      <c r="E3" s="23" t="s">
        <v>3</v>
      </c>
    </row>
    <row r="4" spans="1:5" x14ac:dyDescent="0.25">
      <c r="A4" s="30" t="s">
        <v>4</v>
      </c>
      <c r="B4" s="30" t="s">
        <v>5</v>
      </c>
      <c r="C4" s="30" t="s">
        <v>6</v>
      </c>
      <c r="D4" s="30" t="s">
        <v>5</v>
      </c>
      <c r="E4" s="30" t="s">
        <v>6</v>
      </c>
    </row>
    <row r="5" spans="1:5" x14ac:dyDescent="0.25">
      <c r="A5" s="31" t="s">
        <v>7</v>
      </c>
      <c r="B5" s="32">
        <v>89.617692858358794</v>
      </c>
      <c r="C5" s="32">
        <v>89.638127192433998</v>
      </c>
      <c r="D5" s="32">
        <v>72.749681941547394</v>
      </c>
      <c r="E5" s="32">
        <v>72.774875642569896</v>
      </c>
    </row>
    <row r="6" spans="1:5" x14ac:dyDescent="0.25">
      <c r="A6" s="31" t="s">
        <v>8</v>
      </c>
      <c r="B6" s="32">
        <v>668.64420327233802</v>
      </c>
      <c r="C6" s="32">
        <v>668.77619769488103</v>
      </c>
      <c r="D6" s="32">
        <v>645.15184970104599</v>
      </c>
      <c r="E6" s="32">
        <v>645.28810986783299</v>
      </c>
    </row>
    <row r="7" spans="1:5" x14ac:dyDescent="0.25">
      <c r="A7" s="31" t="s">
        <v>9</v>
      </c>
      <c r="B7" s="32">
        <v>215.68541427868101</v>
      </c>
      <c r="C7" s="32">
        <v>215.78421426863099</v>
      </c>
      <c r="D7" s="32">
        <v>210.84962473684399</v>
      </c>
      <c r="E7" s="32">
        <v>210.952309262482</v>
      </c>
    </row>
    <row r="8" spans="1:5" x14ac:dyDescent="0.25">
      <c r="A8" s="31" t="s">
        <v>10</v>
      </c>
      <c r="B8" s="32">
        <v>731.66552844441605</v>
      </c>
      <c r="C8" s="32">
        <v>731.947144102273</v>
      </c>
      <c r="D8" s="32">
        <v>698.15913766639505</v>
      </c>
      <c r="E8" s="32">
        <v>698.476260217912</v>
      </c>
    </row>
    <row r="9" spans="1:5" x14ac:dyDescent="0.25">
      <c r="A9" s="33" t="s">
        <v>11</v>
      </c>
      <c r="B9" s="34">
        <f>SUM(B4:B8)</f>
        <v>1705.6128388537941</v>
      </c>
      <c r="C9" s="34">
        <f>SUM(C4:C8)</f>
        <v>1706.1456832582189</v>
      </c>
      <c r="D9" s="34">
        <f>SUM(D4:D8)</f>
        <v>1626.9102940458324</v>
      </c>
      <c r="E9" s="34">
        <f>SUM(E4:E8)</f>
        <v>1627.4915549907969</v>
      </c>
    </row>
  </sheetData>
  <mergeCells count="4">
    <mergeCell ref="A1:E1"/>
    <mergeCell ref="A2:E2"/>
    <mergeCell ref="B3:C3"/>
    <mergeCell ref="D3:E3"/>
  </mergeCells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3"/>
  <sheetViews>
    <sheetView topLeftCell="D45" workbookViewId="0">
      <selection activeCell="M222" sqref="M222"/>
    </sheetView>
  </sheetViews>
  <sheetFormatPr defaultRowHeight="15" x14ac:dyDescent="0.25"/>
  <cols>
    <col min="1" max="2" width="16.7109375" customWidth="1"/>
    <col min="3" max="3" width="17.140625" customWidth="1"/>
    <col min="4" max="4" width="32" customWidth="1"/>
    <col min="5" max="18" width="16.7109375" customWidth="1"/>
  </cols>
  <sheetData>
    <row r="1" spans="1:18" x14ac:dyDescent="0.25">
      <c r="A1" s="22" t="s">
        <v>12</v>
      </c>
      <c r="B1" s="27" t="s">
        <v>12</v>
      </c>
      <c r="C1" s="27" t="s">
        <v>12</v>
      </c>
      <c r="D1" s="27" t="s">
        <v>12</v>
      </c>
      <c r="E1" s="27" t="s">
        <v>12</v>
      </c>
      <c r="F1" s="27" t="s">
        <v>12</v>
      </c>
      <c r="G1" s="27" t="s">
        <v>12</v>
      </c>
      <c r="H1" s="27" t="s">
        <v>12</v>
      </c>
      <c r="I1" s="27" t="s">
        <v>12</v>
      </c>
      <c r="J1" s="27" t="s">
        <v>12</v>
      </c>
      <c r="K1" s="27" t="s">
        <v>12</v>
      </c>
      <c r="L1" s="27" t="s">
        <v>12</v>
      </c>
      <c r="M1" s="27" t="s">
        <v>12</v>
      </c>
      <c r="N1" s="27" t="s">
        <v>12</v>
      </c>
      <c r="O1" s="27" t="s">
        <v>12</v>
      </c>
      <c r="P1" s="27" t="s">
        <v>12</v>
      </c>
      <c r="Q1" s="27" t="s">
        <v>12</v>
      </c>
      <c r="R1" s="26" t="s">
        <v>12</v>
      </c>
    </row>
    <row r="2" spans="1:18" x14ac:dyDescent="0.25">
      <c r="A2" s="21" t="s">
        <v>1</v>
      </c>
      <c r="B2" s="27" t="s">
        <v>1</v>
      </c>
      <c r="C2" s="27" t="s">
        <v>1</v>
      </c>
      <c r="D2" s="27" t="s">
        <v>1</v>
      </c>
      <c r="E2" s="27" t="s">
        <v>1</v>
      </c>
      <c r="F2" s="27" t="s">
        <v>1</v>
      </c>
      <c r="G2" s="27" t="s">
        <v>1</v>
      </c>
      <c r="H2" s="27" t="s">
        <v>1</v>
      </c>
      <c r="I2" s="27" t="s">
        <v>1</v>
      </c>
      <c r="J2" s="27" t="s">
        <v>1</v>
      </c>
      <c r="K2" s="27" t="s">
        <v>1</v>
      </c>
      <c r="L2" s="27" t="s">
        <v>1</v>
      </c>
      <c r="M2" s="27" t="s">
        <v>1</v>
      </c>
      <c r="N2" s="27" t="s">
        <v>1</v>
      </c>
      <c r="O2" s="27" t="s">
        <v>1</v>
      </c>
      <c r="P2" s="27" t="s">
        <v>1</v>
      </c>
      <c r="Q2" s="27" t="s">
        <v>1</v>
      </c>
      <c r="R2" s="26" t="s">
        <v>1</v>
      </c>
    </row>
    <row r="3" spans="1:18" x14ac:dyDescent="0.25">
      <c r="A3" s="24" t="s">
        <v>13</v>
      </c>
      <c r="B3" s="20" t="s">
        <v>13</v>
      </c>
      <c r="C3" s="20" t="s">
        <v>13</v>
      </c>
      <c r="D3" s="20" t="s">
        <v>13</v>
      </c>
      <c r="E3" s="20" t="s">
        <v>13</v>
      </c>
      <c r="F3" s="20" t="s">
        <v>13</v>
      </c>
      <c r="G3" s="20" t="s">
        <v>13</v>
      </c>
      <c r="H3" s="20" t="s">
        <v>13</v>
      </c>
      <c r="I3" s="20" t="s">
        <v>13</v>
      </c>
      <c r="J3" s="20" t="s">
        <v>13</v>
      </c>
      <c r="K3" s="20" t="s">
        <v>13</v>
      </c>
      <c r="L3" s="20" t="s">
        <v>13</v>
      </c>
      <c r="M3" s="20" t="s">
        <v>13</v>
      </c>
      <c r="N3" s="20" t="s">
        <v>13</v>
      </c>
      <c r="O3" s="20" t="s">
        <v>13</v>
      </c>
      <c r="P3" s="20" t="s">
        <v>13</v>
      </c>
      <c r="Q3" s="20" t="s">
        <v>13</v>
      </c>
      <c r="R3" s="23" t="s">
        <v>13</v>
      </c>
    </row>
    <row r="4" spans="1:18" x14ac:dyDescent="0.25">
      <c r="A4" s="19" t="s">
        <v>14</v>
      </c>
      <c r="B4" s="19" t="s">
        <v>15</v>
      </c>
      <c r="C4" s="19" t="s">
        <v>4</v>
      </c>
      <c r="D4" s="17" t="s">
        <v>16</v>
      </c>
      <c r="E4" s="15" t="s">
        <v>17</v>
      </c>
      <c r="F4" s="15" t="s">
        <v>17</v>
      </c>
      <c r="G4" s="15" t="s">
        <v>17</v>
      </c>
      <c r="H4" s="15" t="s">
        <v>17</v>
      </c>
      <c r="I4" s="15" t="s">
        <v>17</v>
      </c>
      <c r="J4" s="15" t="s">
        <v>18</v>
      </c>
      <c r="K4" s="15" t="s">
        <v>18</v>
      </c>
      <c r="L4" s="17" t="s">
        <v>18</v>
      </c>
      <c r="M4" s="14" t="s">
        <v>19</v>
      </c>
      <c r="N4" s="15" t="s">
        <v>19</v>
      </c>
      <c r="O4" s="14" t="s">
        <v>20</v>
      </c>
      <c r="P4" s="15" t="s">
        <v>20</v>
      </c>
      <c r="Q4" s="17" t="s">
        <v>21</v>
      </c>
      <c r="R4" s="17" t="s">
        <v>22</v>
      </c>
    </row>
    <row r="5" spans="1:18" x14ac:dyDescent="0.25">
      <c r="A5" s="18" t="s">
        <v>14</v>
      </c>
      <c r="B5" s="18" t="s">
        <v>15</v>
      </c>
      <c r="C5" s="18" t="s">
        <v>4</v>
      </c>
      <c r="D5" s="16" t="s">
        <v>16</v>
      </c>
      <c r="E5" s="35" t="s">
        <v>23</v>
      </c>
      <c r="F5" s="35" t="s">
        <v>24</v>
      </c>
      <c r="G5" s="35" t="s">
        <v>25</v>
      </c>
      <c r="H5" s="35" t="s">
        <v>26</v>
      </c>
      <c r="I5" s="36" t="s">
        <v>11</v>
      </c>
      <c r="J5" s="35" t="s">
        <v>24</v>
      </c>
      <c r="K5" s="35" t="s">
        <v>25</v>
      </c>
      <c r="L5" s="16" t="s">
        <v>18</v>
      </c>
      <c r="M5" s="35" t="s">
        <v>27</v>
      </c>
      <c r="N5" s="35" t="s">
        <v>28</v>
      </c>
      <c r="O5" s="35" t="s">
        <v>27</v>
      </c>
      <c r="P5" s="35" t="s">
        <v>28</v>
      </c>
      <c r="Q5" s="16" t="s">
        <v>21</v>
      </c>
      <c r="R5" s="16" t="s">
        <v>22</v>
      </c>
    </row>
    <row r="6" spans="1:18" hidden="1" x14ac:dyDescent="0.25">
      <c r="A6" s="37" t="s">
        <v>29</v>
      </c>
      <c r="B6" s="32">
        <v>2.5416666666666701</v>
      </c>
      <c r="C6" s="38" t="s">
        <v>30</v>
      </c>
      <c r="D6" s="38" t="s">
        <v>31</v>
      </c>
      <c r="E6" s="32">
        <v>0</v>
      </c>
      <c r="F6" s="32">
        <v>0</v>
      </c>
      <c r="G6" s="32">
        <v>2.5416666666666701</v>
      </c>
      <c r="H6" s="32">
        <v>0</v>
      </c>
      <c r="I6" s="32">
        <v>2.5416666666666701</v>
      </c>
      <c r="J6" s="39">
        <v>0</v>
      </c>
      <c r="K6" s="39">
        <v>0</v>
      </c>
      <c r="L6" s="39">
        <v>0</v>
      </c>
      <c r="M6" s="40">
        <v>0.320615079665588</v>
      </c>
      <c r="N6" s="39">
        <v>0</v>
      </c>
      <c r="O6" s="40">
        <v>2.4292648759533502</v>
      </c>
      <c r="P6" s="39">
        <v>10</v>
      </c>
      <c r="Q6" s="39">
        <v>9.5577634463738299</v>
      </c>
      <c r="R6" s="39">
        <v>24.292648759533499</v>
      </c>
    </row>
    <row r="7" spans="1:18" hidden="1" x14ac:dyDescent="0.25">
      <c r="A7" s="37" t="s">
        <v>32</v>
      </c>
      <c r="B7" s="32">
        <v>0.54166666666666696</v>
      </c>
      <c r="C7" s="38" t="s">
        <v>30</v>
      </c>
      <c r="D7" s="38" t="s">
        <v>31</v>
      </c>
      <c r="E7" s="32">
        <v>0</v>
      </c>
      <c r="F7" s="32">
        <v>0</v>
      </c>
      <c r="G7" s="32">
        <v>0.54166666666666696</v>
      </c>
      <c r="H7" s="32">
        <v>0</v>
      </c>
      <c r="I7" s="32">
        <v>0.54166666666666696</v>
      </c>
      <c r="J7" s="39">
        <v>0</v>
      </c>
      <c r="K7" s="39">
        <v>0</v>
      </c>
      <c r="L7" s="39">
        <v>0</v>
      </c>
      <c r="M7" s="40">
        <v>6.1047068266451399E-2</v>
      </c>
      <c r="N7" s="39">
        <v>0</v>
      </c>
      <c r="O7" s="40">
        <v>0.403775188848638</v>
      </c>
      <c r="P7" s="39">
        <v>10</v>
      </c>
      <c r="Q7" s="39">
        <v>7.4543111787440903</v>
      </c>
      <c r="R7" s="39">
        <v>4.0377518884863797</v>
      </c>
    </row>
    <row r="8" spans="1:18" hidden="1" x14ac:dyDescent="0.25">
      <c r="A8" s="37" t="s">
        <v>33</v>
      </c>
      <c r="B8" s="32">
        <v>10.103479912910901</v>
      </c>
      <c r="C8" s="38" t="s">
        <v>30</v>
      </c>
      <c r="D8" s="38" t="s">
        <v>31</v>
      </c>
      <c r="E8" s="32">
        <v>0</v>
      </c>
      <c r="F8" s="32">
        <v>0</v>
      </c>
      <c r="G8" s="32">
        <v>10.103479912910901</v>
      </c>
      <c r="H8" s="32">
        <v>0</v>
      </c>
      <c r="I8" s="32">
        <v>10.103479912910901</v>
      </c>
      <c r="J8" s="39">
        <v>0</v>
      </c>
      <c r="K8" s="39">
        <v>0</v>
      </c>
      <c r="L8" s="39">
        <v>0</v>
      </c>
      <c r="M8" s="40">
        <v>1.0028807300670499</v>
      </c>
      <c r="N8" s="39">
        <v>0</v>
      </c>
      <c r="O8" s="40">
        <v>5.7328853566346698</v>
      </c>
      <c r="P8" s="39">
        <v>10</v>
      </c>
      <c r="Q8" s="39">
        <v>5.6741691041606401</v>
      </c>
      <c r="R8" s="39">
        <v>57.328853566346702</v>
      </c>
    </row>
    <row r="9" spans="1:18" hidden="1" x14ac:dyDescent="0.25">
      <c r="A9" s="37" t="s">
        <v>34</v>
      </c>
      <c r="B9" s="32">
        <v>2.4999950000000002</v>
      </c>
      <c r="C9" s="38" t="s">
        <v>30</v>
      </c>
      <c r="D9" s="38" t="s">
        <v>31</v>
      </c>
      <c r="E9" s="32">
        <v>0</v>
      </c>
      <c r="F9" s="32">
        <v>0</v>
      </c>
      <c r="G9" s="32">
        <v>2.4999950000000002</v>
      </c>
      <c r="H9" s="32">
        <v>0</v>
      </c>
      <c r="I9" s="32">
        <v>2.4999950000000002</v>
      </c>
      <c r="J9" s="39">
        <v>0</v>
      </c>
      <c r="K9" s="39">
        <v>0</v>
      </c>
      <c r="L9" s="39">
        <v>0</v>
      </c>
      <c r="M9" s="40">
        <v>0.40324378054780002</v>
      </c>
      <c r="N9" s="39">
        <v>0</v>
      </c>
      <c r="O9" s="40">
        <v>2.7755324758467999</v>
      </c>
      <c r="P9" s="39">
        <v>10</v>
      </c>
      <c r="Q9" s="39">
        <v>11.102152107691399</v>
      </c>
      <c r="R9" s="39">
        <v>27.755324758467999</v>
      </c>
    </row>
    <row r="10" spans="1:18" hidden="1" x14ac:dyDescent="0.25">
      <c r="A10" s="37" t="s">
        <v>35</v>
      </c>
      <c r="B10" s="32">
        <v>4.4999950000000002</v>
      </c>
      <c r="C10" s="38" t="s">
        <v>30</v>
      </c>
      <c r="D10" s="38" t="s">
        <v>31</v>
      </c>
      <c r="E10" s="32">
        <v>0</v>
      </c>
      <c r="F10" s="32">
        <v>0</v>
      </c>
      <c r="G10" s="32">
        <v>4.4999950000000002</v>
      </c>
      <c r="H10" s="32">
        <v>0</v>
      </c>
      <c r="I10" s="32">
        <v>4.4999950000000002</v>
      </c>
      <c r="J10" s="39">
        <v>0</v>
      </c>
      <c r="K10" s="39">
        <v>0</v>
      </c>
      <c r="L10" s="39">
        <v>0</v>
      </c>
      <c r="M10" s="40">
        <v>1.0050052483261001</v>
      </c>
      <c r="N10" s="39">
        <v>0</v>
      </c>
      <c r="O10" s="40">
        <v>7.0042545696080802</v>
      </c>
      <c r="P10" s="39">
        <v>10</v>
      </c>
      <c r="Q10" s="39">
        <v>15.565027449159601</v>
      </c>
      <c r="R10" s="39">
        <v>70.042545696080794</v>
      </c>
    </row>
    <row r="11" spans="1:18" hidden="1" x14ac:dyDescent="0.25">
      <c r="A11" s="37" t="s">
        <v>36</v>
      </c>
      <c r="B11" s="32">
        <v>0</v>
      </c>
      <c r="C11" s="38" t="s">
        <v>30</v>
      </c>
      <c r="D11" s="38" t="s">
        <v>31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spans="1:18" x14ac:dyDescent="0.25">
      <c r="A12" s="42" t="s">
        <v>37</v>
      </c>
      <c r="B12" s="43">
        <v>20.1868032462442</v>
      </c>
      <c r="C12" s="44" t="s">
        <v>30</v>
      </c>
      <c r="D12" s="44" t="s">
        <v>31</v>
      </c>
      <c r="E12" s="45">
        <f>SUM(E6:E10)</f>
        <v>0</v>
      </c>
      <c r="F12" s="45">
        <f>SUM(F6:F10)</f>
        <v>0</v>
      </c>
      <c r="G12" s="45">
        <f>SUM(G6:G10)</f>
        <v>20.186803246244239</v>
      </c>
      <c r="H12" s="45">
        <f>SUM(H6:H10)</f>
        <v>0</v>
      </c>
      <c r="I12" s="45">
        <f>SUM(I6:I10)</f>
        <v>20.186803246244239</v>
      </c>
      <c r="J12" s="46">
        <v>0</v>
      </c>
      <c r="K12" s="46">
        <v>0</v>
      </c>
      <c r="L12" s="46">
        <v>0</v>
      </c>
      <c r="M12" s="47">
        <f>SUM(M6:M10)</f>
        <v>2.7927919068729894</v>
      </c>
      <c r="N12" s="48">
        <f>(N6)</f>
        <v>0</v>
      </c>
      <c r="O12" s="47">
        <f>SUM(O6:O10)</f>
        <v>18.345712466891538</v>
      </c>
      <c r="P12" s="48">
        <f>(P6)</f>
        <v>10</v>
      </c>
      <c r="Q12" s="48">
        <f>(R12/B12)</f>
        <v>9.0879730896989841</v>
      </c>
      <c r="R12" s="48">
        <f>SUM(R6:R10)</f>
        <v>183.45712466891538</v>
      </c>
    </row>
    <row r="14" spans="1:18" x14ac:dyDescent="0.25">
      <c r="A14" s="21" t="s">
        <v>1</v>
      </c>
      <c r="B14" s="27" t="s">
        <v>1</v>
      </c>
      <c r="C14" s="27" t="s">
        <v>1</v>
      </c>
      <c r="D14" s="27" t="s">
        <v>1</v>
      </c>
      <c r="E14" s="27" t="s">
        <v>1</v>
      </c>
      <c r="F14" s="27" t="s">
        <v>1</v>
      </c>
      <c r="G14" s="27" t="s">
        <v>1</v>
      </c>
      <c r="H14" s="27" t="s">
        <v>1</v>
      </c>
      <c r="I14" s="27" t="s">
        <v>1</v>
      </c>
      <c r="J14" s="27" t="s">
        <v>1</v>
      </c>
      <c r="K14" s="27" t="s">
        <v>1</v>
      </c>
      <c r="L14" s="27" t="s">
        <v>1</v>
      </c>
      <c r="M14" s="27" t="s">
        <v>1</v>
      </c>
      <c r="N14" s="27" t="s">
        <v>1</v>
      </c>
      <c r="O14" s="27" t="s">
        <v>1</v>
      </c>
      <c r="P14" s="27" t="s">
        <v>1</v>
      </c>
      <c r="Q14" s="27" t="s">
        <v>1</v>
      </c>
      <c r="R14" s="26" t="s">
        <v>1</v>
      </c>
    </row>
    <row r="15" spans="1:18" x14ac:dyDescent="0.25">
      <c r="A15" s="24" t="s">
        <v>38</v>
      </c>
      <c r="B15" s="20" t="s">
        <v>38</v>
      </c>
      <c r="C15" s="20" t="s">
        <v>38</v>
      </c>
      <c r="D15" s="20" t="s">
        <v>38</v>
      </c>
      <c r="E15" s="20" t="s">
        <v>38</v>
      </c>
      <c r="F15" s="20" t="s">
        <v>38</v>
      </c>
      <c r="G15" s="20" t="s">
        <v>38</v>
      </c>
      <c r="H15" s="20" t="s">
        <v>38</v>
      </c>
      <c r="I15" s="20" t="s">
        <v>38</v>
      </c>
      <c r="J15" s="20" t="s">
        <v>38</v>
      </c>
      <c r="K15" s="20" t="s">
        <v>38</v>
      </c>
      <c r="L15" s="20" t="s">
        <v>38</v>
      </c>
      <c r="M15" s="20" t="s">
        <v>38</v>
      </c>
      <c r="N15" s="20" t="s">
        <v>38</v>
      </c>
      <c r="O15" s="20" t="s">
        <v>38</v>
      </c>
      <c r="P15" s="20" t="s">
        <v>38</v>
      </c>
      <c r="Q15" s="20" t="s">
        <v>38</v>
      </c>
      <c r="R15" s="23" t="s">
        <v>38</v>
      </c>
    </row>
    <row r="16" spans="1:18" x14ac:dyDescent="0.25">
      <c r="A16" s="19" t="s">
        <v>14</v>
      </c>
      <c r="B16" s="19" t="s">
        <v>15</v>
      </c>
      <c r="C16" s="19" t="s">
        <v>4</v>
      </c>
      <c r="D16" s="17" t="s">
        <v>16</v>
      </c>
      <c r="E16" s="15" t="s">
        <v>17</v>
      </c>
      <c r="F16" s="15" t="s">
        <v>17</v>
      </c>
      <c r="G16" s="15" t="s">
        <v>17</v>
      </c>
      <c r="H16" s="15" t="s">
        <v>17</v>
      </c>
      <c r="I16" s="15" t="s">
        <v>17</v>
      </c>
      <c r="J16" s="15" t="s">
        <v>18</v>
      </c>
      <c r="K16" s="15" t="s">
        <v>18</v>
      </c>
      <c r="L16" s="17" t="s">
        <v>18</v>
      </c>
      <c r="M16" s="14" t="s">
        <v>19</v>
      </c>
      <c r="N16" s="15" t="s">
        <v>19</v>
      </c>
      <c r="O16" s="14" t="s">
        <v>20</v>
      </c>
      <c r="P16" s="15" t="s">
        <v>20</v>
      </c>
      <c r="Q16" s="17" t="s">
        <v>21</v>
      </c>
      <c r="R16" s="17" t="s">
        <v>22</v>
      </c>
    </row>
    <row r="17" spans="1:18" x14ac:dyDescent="0.25">
      <c r="A17" s="18" t="s">
        <v>14</v>
      </c>
      <c r="B17" s="18" t="s">
        <v>15</v>
      </c>
      <c r="C17" s="18" t="s">
        <v>4</v>
      </c>
      <c r="D17" s="16" t="s">
        <v>16</v>
      </c>
      <c r="E17" s="35" t="s">
        <v>23</v>
      </c>
      <c r="F17" s="35" t="s">
        <v>24</v>
      </c>
      <c r="G17" s="35" t="s">
        <v>25</v>
      </c>
      <c r="H17" s="35" t="s">
        <v>26</v>
      </c>
      <c r="I17" s="36" t="s">
        <v>11</v>
      </c>
      <c r="J17" s="35" t="s">
        <v>24</v>
      </c>
      <c r="K17" s="35" t="s">
        <v>25</v>
      </c>
      <c r="L17" s="16" t="s">
        <v>18</v>
      </c>
      <c r="M17" s="35" t="s">
        <v>27</v>
      </c>
      <c r="N17" s="35" t="s">
        <v>28</v>
      </c>
      <c r="O17" s="35" t="s">
        <v>27</v>
      </c>
      <c r="P17" s="35" t="s">
        <v>28</v>
      </c>
      <c r="Q17" s="16" t="s">
        <v>21</v>
      </c>
      <c r="R17" s="16" t="s">
        <v>22</v>
      </c>
    </row>
    <row r="18" spans="1:18" hidden="1" x14ac:dyDescent="0.25">
      <c r="A18" s="37" t="s">
        <v>29</v>
      </c>
      <c r="B18" s="32">
        <v>3.5833333333333299</v>
      </c>
      <c r="C18" s="38" t="s">
        <v>39</v>
      </c>
      <c r="D18" s="38" t="s">
        <v>31</v>
      </c>
      <c r="E18" s="32">
        <v>0</v>
      </c>
      <c r="F18" s="32">
        <v>0</v>
      </c>
      <c r="G18" s="32">
        <v>3.5833333333333299</v>
      </c>
      <c r="H18" s="32">
        <v>0</v>
      </c>
      <c r="I18" s="32">
        <v>3.5833333333333299</v>
      </c>
      <c r="J18" s="39">
        <v>0</v>
      </c>
      <c r="K18" s="39">
        <v>0</v>
      </c>
      <c r="L18" s="39">
        <v>0</v>
      </c>
      <c r="M18" s="40">
        <v>0.63726418807603302</v>
      </c>
      <c r="N18" s="39">
        <v>0</v>
      </c>
      <c r="O18" s="40">
        <v>5.5475202879288297</v>
      </c>
      <c r="P18" s="39">
        <v>10</v>
      </c>
      <c r="Q18" s="39">
        <v>15.481451966312999</v>
      </c>
      <c r="R18" s="39">
        <v>55.475202879288297</v>
      </c>
    </row>
    <row r="19" spans="1:18" hidden="1" x14ac:dyDescent="0.25">
      <c r="A19" s="37" t="s">
        <v>40</v>
      </c>
      <c r="B19" s="32">
        <v>0.84123568951410499</v>
      </c>
      <c r="C19" s="38" t="s">
        <v>39</v>
      </c>
      <c r="D19" s="38" t="s">
        <v>31</v>
      </c>
      <c r="E19" s="32">
        <v>0</v>
      </c>
      <c r="F19" s="32">
        <v>0</v>
      </c>
      <c r="G19" s="32">
        <v>0.84123568951410499</v>
      </c>
      <c r="H19" s="32">
        <v>0</v>
      </c>
      <c r="I19" s="32">
        <v>0.84123568951410499</v>
      </c>
      <c r="J19" s="39">
        <v>0</v>
      </c>
      <c r="K19" s="39">
        <v>0</v>
      </c>
      <c r="L19" s="39">
        <v>0</v>
      </c>
      <c r="M19" s="40">
        <v>0.11655408413309699</v>
      </c>
      <c r="N19" s="39">
        <v>0</v>
      </c>
      <c r="O19" s="40">
        <v>0.88544150185121895</v>
      </c>
      <c r="P19" s="39">
        <v>10</v>
      </c>
      <c r="Q19" s="39">
        <v>10.525486648844501</v>
      </c>
      <c r="R19" s="39">
        <v>8.8544150185121904</v>
      </c>
    </row>
    <row r="20" spans="1:18" hidden="1" x14ac:dyDescent="0.25">
      <c r="A20" s="37" t="s">
        <v>41</v>
      </c>
      <c r="B20" s="32">
        <v>0.74209764381922905</v>
      </c>
      <c r="C20" s="38" t="s">
        <v>39</v>
      </c>
      <c r="D20" s="38" t="s">
        <v>31</v>
      </c>
      <c r="E20" s="32">
        <v>0</v>
      </c>
      <c r="F20" s="32">
        <v>0</v>
      </c>
      <c r="G20" s="32">
        <v>0.74209764381922905</v>
      </c>
      <c r="H20" s="32">
        <v>0</v>
      </c>
      <c r="I20" s="32">
        <v>0.74209764381922905</v>
      </c>
      <c r="J20" s="39">
        <v>0</v>
      </c>
      <c r="K20" s="39">
        <v>0</v>
      </c>
      <c r="L20" s="39">
        <v>0</v>
      </c>
      <c r="M20" s="40">
        <v>7.3661296229572404E-2</v>
      </c>
      <c r="N20" s="39">
        <v>0</v>
      </c>
      <c r="O20" s="40">
        <v>0.43405154228186599</v>
      </c>
      <c r="P20" s="39">
        <v>10</v>
      </c>
      <c r="Q20" s="39">
        <v>5.8489815443693596</v>
      </c>
      <c r="R20" s="39">
        <v>4.34051542281866</v>
      </c>
    </row>
    <row r="21" spans="1:18" hidden="1" x14ac:dyDescent="0.25">
      <c r="A21" s="37" t="s">
        <v>42</v>
      </c>
      <c r="B21" s="32">
        <v>1.7579023561807701</v>
      </c>
      <c r="C21" s="38" t="s">
        <v>39</v>
      </c>
      <c r="D21" s="38" t="s">
        <v>31</v>
      </c>
      <c r="E21" s="32">
        <v>0</v>
      </c>
      <c r="F21" s="32">
        <v>0</v>
      </c>
      <c r="G21" s="32">
        <v>1.7579023561807701</v>
      </c>
      <c r="H21" s="32">
        <v>0</v>
      </c>
      <c r="I21" s="32">
        <v>1.7579023561807701</v>
      </c>
      <c r="J21" s="39">
        <v>0</v>
      </c>
      <c r="K21" s="39">
        <v>0</v>
      </c>
      <c r="L21" s="39">
        <v>0</v>
      </c>
      <c r="M21" s="40">
        <v>0.28354606197788301</v>
      </c>
      <c r="N21" s="39">
        <v>0</v>
      </c>
      <c r="O21" s="40">
        <v>2.0156644997517801</v>
      </c>
      <c r="P21" s="39">
        <v>10</v>
      </c>
      <c r="Q21" s="39">
        <v>11.466305239677901</v>
      </c>
      <c r="R21" s="39">
        <v>20.156644997517802</v>
      </c>
    </row>
    <row r="22" spans="1:18" hidden="1" x14ac:dyDescent="0.25">
      <c r="A22" s="37" t="s">
        <v>43</v>
      </c>
      <c r="B22" s="32">
        <v>4.5</v>
      </c>
      <c r="C22" s="38" t="s">
        <v>39</v>
      </c>
      <c r="D22" s="38" t="s">
        <v>31</v>
      </c>
      <c r="E22" s="32">
        <v>0</v>
      </c>
      <c r="F22" s="32">
        <v>0</v>
      </c>
      <c r="G22" s="32">
        <v>4.5</v>
      </c>
      <c r="H22" s="32">
        <v>0</v>
      </c>
      <c r="I22" s="32">
        <v>4.5</v>
      </c>
      <c r="J22" s="39">
        <v>0</v>
      </c>
      <c r="K22" s="39">
        <v>0</v>
      </c>
      <c r="L22" s="39">
        <v>0</v>
      </c>
      <c r="M22" s="40">
        <v>1.00500748166651</v>
      </c>
      <c r="N22" s="39">
        <v>0</v>
      </c>
      <c r="O22" s="40">
        <v>7.74060375667574</v>
      </c>
      <c r="P22" s="39">
        <v>10</v>
      </c>
      <c r="Q22" s="39">
        <v>17.201341681501599</v>
      </c>
      <c r="R22" s="39">
        <v>77.406037566757405</v>
      </c>
    </row>
    <row r="23" spans="1:18" hidden="1" x14ac:dyDescent="0.25">
      <c r="A23" s="37" t="s">
        <v>44</v>
      </c>
      <c r="B23" s="32">
        <v>0</v>
      </c>
      <c r="C23" s="38" t="s">
        <v>39</v>
      </c>
      <c r="D23" s="38" t="s">
        <v>31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</row>
    <row r="24" spans="1:18" x14ac:dyDescent="0.25">
      <c r="A24" s="42" t="s">
        <v>37</v>
      </c>
      <c r="B24" s="43">
        <v>11.4245690228474</v>
      </c>
      <c r="C24" s="44" t="s">
        <v>39</v>
      </c>
      <c r="D24" s="44" t="s">
        <v>31</v>
      </c>
      <c r="E24" s="45">
        <f>SUM(E18:E22)</f>
        <v>0</v>
      </c>
      <c r="F24" s="45">
        <f>SUM(F18:F22)</f>
        <v>0</v>
      </c>
      <c r="G24" s="45">
        <f>SUM(G18:G22)</f>
        <v>11.424569022847434</v>
      </c>
      <c r="H24" s="45">
        <f>SUM(H18:H22)</f>
        <v>0</v>
      </c>
      <c r="I24" s="45">
        <f>SUM(I18:I22)</f>
        <v>11.424569022847434</v>
      </c>
      <c r="J24" s="46">
        <v>0</v>
      </c>
      <c r="K24" s="46">
        <v>0</v>
      </c>
      <c r="L24" s="46">
        <v>0</v>
      </c>
      <c r="M24" s="47">
        <f>SUM(M18:M22)</f>
        <v>2.1160331120830955</v>
      </c>
      <c r="N24" s="48">
        <f>(N18)</f>
        <v>0</v>
      </c>
      <c r="O24" s="47">
        <f>SUM(O18:O22)</f>
        <v>16.623281588489434</v>
      </c>
      <c r="P24" s="48">
        <f>(P18)</f>
        <v>10</v>
      </c>
      <c r="Q24" s="48">
        <f>(R24/B24)</f>
        <v>14.550467116304695</v>
      </c>
      <c r="R24" s="48">
        <f>SUM(R18:R22)</f>
        <v>166.23281588489436</v>
      </c>
    </row>
    <row r="26" spans="1:18" x14ac:dyDescent="0.25">
      <c r="A26" s="21" t="s">
        <v>1</v>
      </c>
      <c r="B26" s="27" t="s">
        <v>1</v>
      </c>
      <c r="C26" s="27" t="s">
        <v>1</v>
      </c>
      <c r="D26" s="27" t="s">
        <v>1</v>
      </c>
      <c r="E26" s="27" t="s">
        <v>1</v>
      </c>
      <c r="F26" s="27" t="s">
        <v>1</v>
      </c>
      <c r="G26" s="27" t="s">
        <v>1</v>
      </c>
      <c r="H26" s="27" t="s">
        <v>1</v>
      </c>
      <c r="I26" s="27" t="s">
        <v>1</v>
      </c>
      <c r="J26" s="27" t="s">
        <v>1</v>
      </c>
      <c r="K26" s="27" t="s">
        <v>1</v>
      </c>
      <c r="L26" s="27" t="s">
        <v>1</v>
      </c>
      <c r="M26" s="27" t="s">
        <v>1</v>
      </c>
      <c r="N26" s="27" t="s">
        <v>1</v>
      </c>
      <c r="O26" s="27" t="s">
        <v>1</v>
      </c>
      <c r="P26" s="27" t="s">
        <v>1</v>
      </c>
      <c r="Q26" s="27" t="s">
        <v>1</v>
      </c>
      <c r="R26" s="26" t="s">
        <v>1</v>
      </c>
    </row>
    <row r="27" spans="1:18" x14ac:dyDescent="0.25">
      <c r="A27" s="24" t="s">
        <v>45</v>
      </c>
      <c r="B27" s="20" t="s">
        <v>45</v>
      </c>
      <c r="C27" s="20" t="s">
        <v>45</v>
      </c>
      <c r="D27" s="20" t="s">
        <v>45</v>
      </c>
      <c r="E27" s="20" t="s">
        <v>45</v>
      </c>
      <c r="F27" s="20" t="s">
        <v>45</v>
      </c>
      <c r="G27" s="20" t="s">
        <v>45</v>
      </c>
      <c r="H27" s="20" t="s">
        <v>45</v>
      </c>
      <c r="I27" s="20" t="s">
        <v>45</v>
      </c>
      <c r="J27" s="20" t="s">
        <v>45</v>
      </c>
      <c r="K27" s="20" t="s">
        <v>45</v>
      </c>
      <c r="L27" s="20" t="s">
        <v>45</v>
      </c>
      <c r="M27" s="20" t="s">
        <v>45</v>
      </c>
      <c r="N27" s="20" t="s">
        <v>45</v>
      </c>
      <c r="O27" s="20" t="s">
        <v>45</v>
      </c>
      <c r="P27" s="20" t="s">
        <v>45</v>
      </c>
      <c r="Q27" s="20" t="s">
        <v>45</v>
      </c>
      <c r="R27" s="23" t="s">
        <v>45</v>
      </c>
    </row>
    <row r="28" spans="1:18" x14ac:dyDescent="0.25">
      <c r="A28" s="19" t="s">
        <v>14</v>
      </c>
      <c r="B28" s="19" t="s">
        <v>15</v>
      </c>
      <c r="C28" s="19" t="s">
        <v>4</v>
      </c>
      <c r="D28" s="17" t="s">
        <v>16</v>
      </c>
      <c r="E28" s="15" t="s">
        <v>17</v>
      </c>
      <c r="F28" s="15" t="s">
        <v>17</v>
      </c>
      <c r="G28" s="15" t="s">
        <v>17</v>
      </c>
      <c r="H28" s="15" t="s">
        <v>17</v>
      </c>
      <c r="I28" s="15" t="s">
        <v>17</v>
      </c>
      <c r="J28" s="15" t="s">
        <v>18</v>
      </c>
      <c r="K28" s="15" t="s">
        <v>18</v>
      </c>
      <c r="L28" s="17" t="s">
        <v>18</v>
      </c>
      <c r="M28" s="14" t="s">
        <v>19</v>
      </c>
      <c r="N28" s="15" t="s">
        <v>19</v>
      </c>
      <c r="O28" s="14" t="s">
        <v>20</v>
      </c>
      <c r="P28" s="15" t="s">
        <v>20</v>
      </c>
      <c r="Q28" s="17" t="s">
        <v>21</v>
      </c>
      <c r="R28" s="17" t="s">
        <v>22</v>
      </c>
    </row>
    <row r="29" spans="1:18" x14ac:dyDescent="0.25">
      <c r="A29" s="18" t="s">
        <v>14</v>
      </c>
      <c r="B29" s="18" t="s">
        <v>15</v>
      </c>
      <c r="C29" s="18" t="s">
        <v>4</v>
      </c>
      <c r="D29" s="16" t="s">
        <v>16</v>
      </c>
      <c r="E29" s="35" t="s">
        <v>23</v>
      </c>
      <c r="F29" s="35" t="s">
        <v>24</v>
      </c>
      <c r="G29" s="35" t="s">
        <v>25</v>
      </c>
      <c r="H29" s="35" t="s">
        <v>26</v>
      </c>
      <c r="I29" s="36" t="s">
        <v>11</v>
      </c>
      <c r="J29" s="35" t="s">
        <v>24</v>
      </c>
      <c r="K29" s="35" t="s">
        <v>25</v>
      </c>
      <c r="L29" s="16" t="s">
        <v>18</v>
      </c>
      <c r="M29" s="35" t="s">
        <v>27</v>
      </c>
      <c r="N29" s="35" t="s">
        <v>28</v>
      </c>
      <c r="O29" s="35" t="s">
        <v>27</v>
      </c>
      <c r="P29" s="35" t="s">
        <v>28</v>
      </c>
      <c r="Q29" s="16" t="s">
        <v>21</v>
      </c>
      <c r="R29" s="16" t="s">
        <v>22</v>
      </c>
    </row>
    <row r="30" spans="1:18" hidden="1" x14ac:dyDescent="0.25">
      <c r="A30" s="37" t="s">
        <v>29</v>
      </c>
      <c r="B30" s="32">
        <v>1.01308694256376E-2</v>
      </c>
      <c r="C30" s="38" t="s">
        <v>39</v>
      </c>
      <c r="D30" s="38" t="s">
        <v>31</v>
      </c>
      <c r="E30" s="32">
        <v>0</v>
      </c>
      <c r="F30" s="32">
        <v>0</v>
      </c>
      <c r="G30" s="32">
        <v>1.01308694256376E-2</v>
      </c>
      <c r="H30" s="32">
        <v>0</v>
      </c>
      <c r="I30" s="32">
        <v>1.01308694256376E-2</v>
      </c>
      <c r="J30" s="39">
        <v>0</v>
      </c>
      <c r="K30" s="39">
        <v>0</v>
      </c>
      <c r="L30" s="39">
        <v>0</v>
      </c>
      <c r="M30" s="40">
        <v>1.75978487610616E-3</v>
      </c>
      <c r="N30" s="39">
        <v>0</v>
      </c>
      <c r="O30" s="40">
        <v>1.15307426036707E-2</v>
      </c>
      <c r="P30" s="39">
        <v>10</v>
      </c>
      <c r="Q30" s="39">
        <v>11.3817897746175</v>
      </c>
      <c r="R30" s="39">
        <v>0.115307426036707</v>
      </c>
    </row>
    <row r="31" spans="1:18" hidden="1" x14ac:dyDescent="0.25">
      <c r="A31" s="37" t="s">
        <v>46</v>
      </c>
      <c r="B31" s="32">
        <v>2.5</v>
      </c>
      <c r="C31" s="38" t="s">
        <v>39</v>
      </c>
      <c r="D31" s="38" t="s">
        <v>31</v>
      </c>
      <c r="E31" s="32">
        <v>0</v>
      </c>
      <c r="F31" s="32">
        <v>0</v>
      </c>
      <c r="G31" s="32">
        <v>2.5</v>
      </c>
      <c r="H31" s="32">
        <v>0</v>
      </c>
      <c r="I31" s="32">
        <v>2.5</v>
      </c>
      <c r="J31" s="39">
        <v>0</v>
      </c>
      <c r="K31" s="39">
        <v>0</v>
      </c>
      <c r="L31" s="39">
        <v>0</v>
      </c>
      <c r="M31" s="40">
        <v>0.40324489722216</v>
      </c>
      <c r="N31" s="39">
        <v>0</v>
      </c>
      <c r="O31" s="40">
        <v>2.89745770113245</v>
      </c>
      <c r="P31" s="39">
        <v>10</v>
      </c>
      <c r="Q31" s="39">
        <v>11.5898308045298</v>
      </c>
      <c r="R31" s="39">
        <v>28.974577011324499</v>
      </c>
    </row>
    <row r="32" spans="1:18" hidden="1" x14ac:dyDescent="0.25">
      <c r="A32" s="37" t="s">
        <v>47</v>
      </c>
      <c r="B32" s="32">
        <v>2.4898631305743599</v>
      </c>
      <c r="C32" s="38" t="s">
        <v>39</v>
      </c>
      <c r="D32" s="38" t="s">
        <v>31</v>
      </c>
      <c r="E32" s="32">
        <v>0</v>
      </c>
      <c r="F32" s="32">
        <v>0</v>
      </c>
      <c r="G32" s="32">
        <v>2.4898631305743599</v>
      </c>
      <c r="H32" s="32">
        <v>0</v>
      </c>
      <c r="I32" s="32">
        <v>2.4898631305743599</v>
      </c>
      <c r="J32" s="39">
        <v>0</v>
      </c>
      <c r="K32" s="39">
        <v>0</v>
      </c>
      <c r="L32" s="39">
        <v>0</v>
      </c>
      <c r="M32" s="40">
        <v>0.58696594765961096</v>
      </c>
      <c r="N32" s="39">
        <v>0</v>
      </c>
      <c r="O32" s="40">
        <v>4.7188664995148004</v>
      </c>
      <c r="P32" s="39">
        <v>10</v>
      </c>
      <c r="Q32" s="39">
        <v>18.952312846314001</v>
      </c>
      <c r="R32" s="39">
        <v>47.188664995148002</v>
      </c>
    </row>
    <row r="33" spans="1:18" hidden="1" x14ac:dyDescent="0.25">
      <c r="A33" s="37" t="s">
        <v>48</v>
      </c>
      <c r="B33" s="32">
        <v>2.0101368694256401</v>
      </c>
      <c r="C33" s="38" t="s">
        <v>39</v>
      </c>
      <c r="D33" s="38" t="s">
        <v>31</v>
      </c>
      <c r="E33" s="32">
        <v>0</v>
      </c>
      <c r="F33" s="32">
        <v>0</v>
      </c>
      <c r="G33" s="32">
        <v>2.0101368694256401</v>
      </c>
      <c r="H33" s="32">
        <v>0</v>
      </c>
      <c r="I33" s="32">
        <v>2.0101368694256401</v>
      </c>
      <c r="J33" s="39">
        <v>0</v>
      </c>
      <c r="K33" s="39">
        <v>0</v>
      </c>
      <c r="L33" s="39">
        <v>0</v>
      </c>
      <c r="M33" s="40">
        <v>0.498814485136789</v>
      </c>
      <c r="N33" s="39">
        <v>0</v>
      </c>
      <c r="O33" s="40">
        <v>4.1902232821951699</v>
      </c>
      <c r="P33" s="39">
        <v>10</v>
      </c>
      <c r="Q33" s="39">
        <v>20.845462545008001</v>
      </c>
      <c r="R33" s="39">
        <v>41.902232821951699</v>
      </c>
    </row>
    <row r="34" spans="1:18" hidden="1" x14ac:dyDescent="0.25">
      <c r="A34" s="37" t="s">
        <v>49</v>
      </c>
      <c r="B34" s="32">
        <v>0</v>
      </c>
      <c r="C34" s="38" t="s">
        <v>39</v>
      </c>
      <c r="D34" s="38" t="s">
        <v>31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</row>
    <row r="35" spans="1:18" x14ac:dyDescent="0.25">
      <c r="A35" s="42" t="s">
        <v>37</v>
      </c>
      <c r="B35" s="43">
        <v>7.0101308694256401</v>
      </c>
      <c r="C35" s="44" t="s">
        <v>39</v>
      </c>
      <c r="D35" s="44" t="s">
        <v>31</v>
      </c>
      <c r="E35" s="45">
        <f>SUM(E30:E33)</f>
        <v>0</v>
      </c>
      <c r="F35" s="45">
        <f>SUM(F30:F33)</f>
        <v>0</v>
      </c>
      <c r="G35" s="45">
        <f>SUM(G30:G33)</f>
        <v>7.0101308694256375</v>
      </c>
      <c r="H35" s="45">
        <f>SUM(H30:H33)</f>
        <v>0</v>
      </c>
      <c r="I35" s="45">
        <f>SUM(I30:I33)</f>
        <v>7.0101308694256375</v>
      </c>
      <c r="J35" s="46">
        <v>0</v>
      </c>
      <c r="K35" s="46">
        <v>0</v>
      </c>
      <c r="L35" s="46">
        <v>0</v>
      </c>
      <c r="M35" s="47">
        <f>SUM(M30:M33)</f>
        <v>1.4907851148946663</v>
      </c>
      <c r="N35" s="48">
        <f>(N30)</f>
        <v>0</v>
      </c>
      <c r="O35" s="47">
        <f>SUM(O30:O33)</f>
        <v>11.81807822544609</v>
      </c>
      <c r="P35" s="48">
        <f>(P30)</f>
        <v>10</v>
      </c>
      <c r="Q35" s="48">
        <f>(R35/B35)</f>
        <v>16.858570040382684</v>
      </c>
      <c r="R35" s="48">
        <f>SUM(R30:R33)</f>
        <v>118.18078225446091</v>
      </c>
    </row>
    <row r="37" spans="1:18" x14ac:dyDescent="0.25">
      <c r="A37" s="21" t="s">
        <v>1</v>
      </c>
      <c r="B37" s="27" t="s">
        <v>1</v>
      </c>
      <c r="C37" s="27" t="s">
        <v>1</v>
      </c>
      <c r="D37" s="27" t="s">
        <v>1</v>
      </c>
      <c r="E37" s="27" t="s">
        <v>1</v>
      </c>
      <c r="F37" s="27" t="s">
        <v>1</v>
      </c>
      <c r="G37" s="27" t="s">
        <v>1</v>
      </c>
      <c r="H37" s="27" t="s">
        <v>1</v>
      </c>
      <c r="I37" s="27" t="s">
        <v>1</v>
      </c>
      <c r="J37" s="27" t="s">
        <v>1</v>
      </c>
      <c r="K37" s="27" t="s">
        <v>1</v>
      </c>
      <c r="L37" s="27" t="s">
        <v>1</v>
      </c>
      <c r="M37" s="27" t="s">
        <v>1</v>
      </c>
      <c r="N37" s="27" t="s">
        <v>1</v>
      </c>
      <c r="O37" s="27" t="s">
        <v>1</v>
      </c>
      <c r="P37" s="27" t="s">
        <v>1</v>
      </c>
      <c r="Q37" s="27" t="s">
        <v>1</v>
      </c>
      <c r="R37" s="26" t="s">
        <v>1</v>
      </c>
    </row>
    <row r="38" spans="1:18" x14ac:dyDescent="0.25">
      <c r="A38" s="24" t="s">
        <v>50</v>
      </c>
      <c r="B38" s="20" t="s">
        <v>50</v>
      </c>
      <c r="C38" s="20" t="s">
        <v>50</v>
      </c>
      <c r="D38" s="20" t="s">
        <v>50</v>
      </c>
      <c r="E38" s="20" t="s">
        <v>50</v>
      </c>
      <c r="F38" s="20" t="s">
        <v>50</v>
      </c>
      <c r="G38" s="20" t="s">
        <v>50</v>
      </c>
      <c r="H38" s="20" t="s">
        <v>50</v>
      </c>
      <c r="I38" s="20" t="s">
        <v>50</v>
      </c>
      <c r="J38" s="20" t="s">
        <v>50</v>
      </c>
      <c r="K38" s="20" t="s">
        <v>50</v>
      </c>
      <c r="L38" s="20" t="s">
        <v>50</v>
      </c>
      <c r="M38" s="20" t="s">
        <v>50</v>
      </c>
      <c r="N38" s="20" t="s">
        <v>50</v>
      </c>
      <c r="O38" s="20" t="s">
        <v>50</v>
      </c>
      <c r="P38" s="20" t="s">
        <v>50</v>
      </c>
      <c r="Q38" s="20" t="s">
        <v>50</v>
      </c>
      <c r="R38" s="23" t="s">
        <v>50</v>
      </c>
    </row>
    <row r="39" spans="1:18" x14ac:dyDescent="0.25">
      <c r="A39" s="19" t="s">
        <v>14</v>
      </c>
      <c r="B39" s="19" t="s">
        <v>15</v>
      </c>
      <c r="C39" s="19" t="s">
        <v>4</v>
      </c>
      <c r="D39" s="17" t="s">
        <v>16</v>
      </c>
      <c r="E39" s="15" t="s">
        <v>17</v>
      </c>
      <c r="F39" s="15" t="s">
        <v>17</v>
      </c>
      <c r="G39" s="15" t="s">
        <v>17</v>
      </c>
      <c r="H39" s="15" t="s">
        <v>17</v>
      </c>
      <c r="I39" s="15" t="s">
        <v>17</v>
      </c>
      <c r="J39" s="15" t="s">
        <v>18</v>
      </c>
      <c r="K39" s="15" t="s">
        <v>18</v>
      </c>
      <c r="L39" s="17" t="s">
        <v>18</v>
      </c>
      <c r="M39" s="14" t="s">
        <v>19</v>
      </c>
      <c r="N39" s="15" t="s">
        <v>19</v>
      </c>
      <c r="O39" s="14" t="s">
        <v>20</v>
      </c>
      <c r="P39" s="15" t="s">
        <v>20</v>
      </c>
      <c r="Q39" s="17" t="s">
        <v>21</v>
      </c>
      <c r="R39" s="17" t="s">
        <v>22</v>
      </c>
    </row>
    <row r="40" spans="1:18" x14ac:dyDescent="0.25">
      <c r="A40" s="18" t="s">
        <v>14</v>
      </c>
      <c r="B40" s="18" t="s">
        <v>15</v>
      </c>
      <c r="C40" s="18" t="s">
        <v>4</v>
      </c>
      <c r="D40" s="16" t="s">
        <v>16</v>
      </c>
      <c r="E40" s="35" t="s">
        <v>23</v>
      </c>
      <c r="F40" s="35" t="s">
        <v>24</v>
      </c>
      <c r="G40" s="35" t="s">
        <v>25</v>
      </c>
      <c r="H40" s="35" t="s">
        <v>26</v>
      </c>
      <c r="I40" s="36" t="s">
        <v>11</v>
      </c>
      <c r="J40" s="35" t="s">
        <v>24</v>
      </c>
      <c r="K40" s="35" t="s">
        <v>25</v>
      </c>
      <c r="L40" s="16" t="s">
        <v>18</v>
      </c>
      <c r="M40" s="35" t="s">
        <v>27</v>
      </c>
      <c r="N40" s="35" t="s">
        <v>28</v>
      </c>
      <c r="O40" s="35" t="s">
        <v>27</v>
      </c>
      <c r="P40" s="35" t="s">
        <v>28</v>
      </c>
      <c r="Q40" s="16" t="s">
        <v>21</v>
      </c>
      <c r="R40" s="16" t="s">
        <v>22</v>
      </c>
    </row>
    <row r="41" spans="1:18" hidden="1" x14ac:dyDescent="0.25">
      <c r="A41" s="37" t="s">
        <v>29</v>
      </c>
      <c r="B41" s="32">
        <v>2.4778767107845701</v>
      </c>
      <c r="C41" s="38" t="s">
        <v>39</v>
      </c>
      <c r="D41" s="38" t="s">
        <v>31</v>
      </c>
      <c r="E41" s="32">
        <v>0</v>
      </c>
      <c r="F41" s="32">
        <v>0</v>
      </c>
      <c r="G41" s="32">
        <v>2.4778767107845701</v>
      </c>
      <c r="H41" s="32">
        <v>0</v>
      </c>
      <c r="I41" s="32">
        <v>2.4778767107845701</v>
      </c>
      <c r="J41" s="39">
        <v>0</v>
      </c>
      <c r="K41" s="39">
        <v>0</v>
      </c>
      <c r="L41" s="39">
        <v>0</v>
      </c>
      <c r="M41" s="40">
        <v>0.39967645582780298</v>
      </c>
      <c r="N41" s="39">
        <v>0</v>
      </c>
      <c r="O41" s="40">
        <v>2.4403547985642202</v>
      </c>
      <c r="P41" s="39">
        <v>10</v>
      </c>
      <c r="Q41" s="39">
        <v>9.8485723197726305</v>
      </c>
      <c r="R41" s="39">
        <v>24.403547985642199</v>
      </c>
    </row>
    <row r="42" spans="1:18" hidden="1" x14ac:dyDescent="0.25">
      <c r="A42" s="37" t="s">
        <v>51</v>
      </c>
      <c r="B42" s="32">
        <v>2.52211728921543</v>
      </c>
      <c r="C42" s="38" t="s">
        <v>39</v>
      </c>
      <c r="D42" s="38" t="s">
        <v>31</v>
      </c>
      <c r="E42" s="32">
        <v>0</v>
      </c>
      <c r="F42" s="32">
        <v>0</v>
      </c>
      <c r="G42" s="32">
        <v>2.52211728921543</v>
      </c>
      <c r="H42" s="32">
        <v>0</v>
      </c>
      <c r="I42" s="32">
        <v>2.52211728921543</v>
      </c>
      <c r="J42" s="39">
        <v>0</v>
      </c>
      <c r="K42" s="39">
        <v>0</v>
      </c>
      <c r="L42" s="39">
        <v>0</v>
      </c>
      <c r="M42" s="40">
        <v>0.59456961573286304</v>
      </c>
      <c r="N42" s="39">
        <v>0</v>
      </c>
      <c r="O42" s="40">
        <v>4.2336107922282302</v>
      </c>
      <c r="P42" s="39">
        <v>10</v>
      </c>
      <c r="Q42" s="39">
        <v>16.785939378518002</v>
      </c>
      <c r="R42" s="39">
        <v>42.336107922282302</v>
      </c>
    </row>
    <row r="43" spans="1:18" hidden="1" x14ac:dyDescent="0.25">
      <c r="A43" s="37" t="s">
        <v>48</v>
      </c>
      <c r="B43" s="32">
        <v>1.97788271078457</v>
      </c>
      <c r="C43" s="38" t="s">
        <v>39</v>
      </c>
      <c r="D43" s="38" t="s">
        <v>31</v>
      </c>
      <c r="E43" s="32">
        <v>0</v>
      </c>
      <c r="F43" s="32">
        <v>0</v>
      </c>
      <c r="G43" s="32">
        <v>1.97788271078457</v>
      </c>
      <c r="H43" s="32">
        <v>0</v>
      </c>
      <c r="I43" s="32">
        <v>1.97788271078457</v>
      </c>
      <c r="J43" s="39">
        <v>0</v>
      </c>
      <c r="K43" s="39">
        <v>0</v>
      </c>
      <c r="L43" s="39">
        <v>0</v>
      </c>
      <c r="M43" s="40">
        <v>0.49081063137898001</v>
      </c>
      <c r="N43" s="39">
        <v>0</v>
      </c>
      <c r="O43" s="40">
        <v>3.93935695026072</v>
      </c>
      <c r="P43" s="39">
        <v>10</v>
      </c>
      <c r="Q43" s="39">
        <v>19.9170402207424</v>
      </c>
      <c r="R43" s="39">
        <v>39.3935695026072</v>
      </c>
    </row>
    <row r="44" spans="1:18" hidden="1" x14ac:dyDescent="0.25">
      <c r="A44" s="37" t="s">
        <v>52</v>
      </c>
      <c r="B44" s="32">
        <v>0</v>
      </c>
      <c r="C44" s="38" t="s">
        <v>39</v>
      </c>
      <c r="D44" s="38" t="s">
        <v>31</v>
      </c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</row>
    <row r="45" spans="1:18" x14ac:dyDescent="0.25">
      <c r="A45" s="42" t="s">
        <v>37</v>
      </c>
      <c r="B45" s="43">
        <v>6.9778767107845701</v>
      </c>
      <c r="C45" s="44" t="s">
        <v>39</v>
      </c>
      <c r="D45" s="44" t="s">
        <v>31</v>
      </c>
      <c r="E45" s="45">
        <f>SUM(E41:E43)</f>
        <v>0</v>
      </c>
      <c r="F45" s="45">
        <f>SUM(F41:F43)</f>
        <v>0</v>
      </c>
      <c r="G45" s="45">
        <f>SUM(G41:G43)</f>
        <v>6.9778767107845701</v>
      </c>
      <c r="H45" s="45">
        <f>SUM(H41:H43)</f>
        <v>0</v>
      </c>
      <c r="I45" s="45">
        <f>SUM(I41:I43)</f>
        <v>6.9778767107845701</v>
      </c>
      <c r="J45" s="46">
        <v>0</v>
      </c>
      <c r="K45" s="46">
        <v>0</v>
      </c>
      <c r="L45" s="46">
        <v>0</v>
      </c>
      <c r="M45" s="47">
        <f>SUM(M41:M43)</f>
        <v>1.485056702939646</v>
      </c>
      <c r="N45" s="48">
        <f>(N41)</f>
        <v>0</v>
      </c>
      <c r="O45" s="47">
        <f>SUM(O41:O43)</f>
        <v>10.61332254105317</v>
      </c>
      <c r="P45" s="48">
        <f>(P41)</f>
        <v>10</v>
      </c>
      <c r="Q45" s="48">
        <f>(R45/B45)</f>
        <v>15.209959964826956</v>
      </c>
      <c r="R45" s="48">
        <f>SUM(R41:R43)</f>
        <v>106.13322541053171</v>
      </c>
    </row>
    <row r="47" spans="1:18" x14ac:dyDescent="0.25">
      <c r="A47" s="21" t="s">
        <v>1</v>
      </c>
      <c r="B47" s="27" t="s">
        <v>1</v>
      </c>
      <c r="C47" s="27" t="s">
        <v>1</v>
      </c>
      <c r="D47" s="27" t="s">
        <v>1</v>
      </c>
      <c r="E47" s="27" t="s">
        <v>1</v>
      </c>
      <c r="F47" s="27" t="s">
        <v>1</v>
      </c>
      <c r="G47" s="27" t="s">
        <v>1</v>
      </c>
      <c r="H47" s="27" t="s">
        <v>1</v>
      </c>
      <c r="I47" s="27" t="s">
        <v>1</v>
      </c>
      <c r="J47" s="27" t="s">
        <v>1</v>
      </c>
      <c r="K47" s="27" t="s">
        <v>1</v>
      </c>
      <c r="L47" s="27" t="s">
        <v>1</v>
      </c>
      <c r="M47" s="27" t="s">
        <v>1</v>
      </c>
      <c r="N47" s="27" t="s">
        <v>1</v>
      </c>
      <c r="O47" s="27" t="s">
        <v>1</v>
      </c>
      <c r="P47" s="27" t="s">
        <v>1</v>
      </c>
      <c r="Q47" s="27" t="s">
        <v>1</v>
      </c>
      <c r="R47" s="26" t="s">
        <v>1</v>
      </c>
    </row>
    <row r="48" spans="1:18" x14ac:dyDescent="0.25">
      <c r="A48" s="24" t="s">
        <v>53</v>
      </c>
      <c r="B48" s="20" t="s">
        <v>53</v>
      </c>
      <c r="C48" s="20" t="s">
        <v>53</v>
      </c>
      <c r="D48" s="20" t="s">
        <v>53</v>
      </c>
      <c r="E48" s="20" t="s">
        <v>53</v>
      </c>
      <c r="F48" s="20" t="s">
        <v>53</v>
      </c>
      <c r="G48" s="20" t="s">
        <v>53</v>
      </c>
      <c r="H48" s="20" t="s">
        <v>53</v>
      </c>
      <c r="I48" s="20" t="s">
        <v>53</v>
      </c>
      <c r="J48" s="20" t="s">
        <v>53</v>
      </c>
      <c r="K48" s="20" t="s">
        <v>53</v>
      </c>
      <c r="L48" s="20" t="s">
        <v>53</v>
      </c>
      <c r="M48" s="20" t="s">
        <v>53</v>
      </c>
      <c r="N48" s="20" t="s">
        <v>53</v>
      </c>
      <c r="O48" s="20" t="s">
        <v>53</v>
      </c>
      <c r="P48" s="20" t="s">
        <v>53</v>
      </c>
      <c r="Q48" s="20" t="s">
        <v>53</v>
      </c>
      <c r="R48" s="23" t="s">
        <v>53</v>
      </c>
    </row>
    <row r="49" spans="1:18" x14ac:dyDescent="0.25">
      <c r="A49" s="19" t="s">
        <v>14</v>
      </c>
      <c r="B49" s="19" t="s">
        <v>15</v>
      </c>
      <c r="C49" s="19" t="s">
        <v>4</v>
      </c>
      <c r="D49" s="17" t="s">
        <v>16</v>
      </c>
      <c r="E49" s="15" t="s">
        <v>17</v>
      </c>
      <c r="F49" s="15" t="s">
        <v>17</v>
      </c>
      <c r="G49" s="15" t="s">
        <v>17</v>
      </c>
      <c r="H49" s="15" t="s">
        <v>17</v>
      </c>
      <c r="I49" s="15" t="s">
        <v>17</v>
      </c>
      <c r="J49" s="15" t="s">
        <v>18</v>
      </c>
      <c r="K49" s="15" t="s">
        <v>18</v>
      </c>
      <c r="L49" s="17" t="s">
        <v>18</v>
      </c>
      <c r="M49" s="14" t="s">
        <v>19</v>
      </c>
      <c r="N49" s="15" t="s">
        <v>19</v>
      </c>
      <c r="O49" s="14" t="s">
        <v>20</v>
      </c>
      <c r="P49" s="15" t="s">
        <v>20</v>
      </c>
      <c r="Q49" s="17" t="s">
        <v>21</v>
      </c>
      <c r="R49" s="17" t="s">
        <v>22</v>
      </c>
    </row>
    <row r="50" spans="1:18" x14ac:dyDescent="0.25">
      <c r="A50" s="18" t="s">
        <v>14</v>
      </c>
      <c r="B50" s="18" t="s">
        <v>15</v>
      </c>
      <c r="C50" s="18" t="s">
        <v>4</v>
      </c>
      <c r="D50" s="16" t="s">
        <v>16</v>
      </c>
      <c r="E50" s="35" t="s">
        <v>23</v>
      </c>
      <c r="F50" s="35" t="s">
        <v>24</v>
      </c>
      <c r="G50" s="35" t="s">
        <v>25</v>
      </c>
      <c r="H50" s="35" t="s">
        <v>26</v>
      </c>
      <c r="I50" s="36" t="s">
        <v>11</v>
      </c>
      <c r="J50" s="35" t="s">
        <v>24</v>
      </c>
      <c r="K50" s="35" t="s">
        <v>25</v>
      </c>
      <c r="L50" s="16" t="s">
        <v>18</v>
      </c>
      <c r="M50" s="35" t="s">
        <v>27</v>
      </c>
      <c r="N50" s="35" t="s">
        <v>28</v>
      </c>
      <c r="O50" s="35" t="s">
        <v>27</v>
      </c>
      <c r="P50" s="35" t="s">
        <v>28</v>
      </c>
      <c r="Q50" s="16" t="s">
        <v>21</v>
      </c>
      <c r="R50" s="16" t="s">
        <v>22</v>
      </c>
    </row>
    <row r="51" spans="1:18" hidden="1" x14ac:dyDescent="0.25">
      <c r="A51" s="37" t="s">
        <v>54</v>
      </c>
      <c r="B51" s="32">
        <v>4.24999550000007</v>
      </c>
      <c r="C51" s="38" t="s">
        <v>55</v>
      </c>
      <c r="D51" s="38" t="s">
        <v>56</v>
      </c>
      <c r="E51" s="32">
        <v>0</v>
      </c>
      <c r="F51" s="32">
        <v>4.24999550000007</v>
      </c>
      <c r="G51" s="32">
        <v>0</v>
      </c>
      <c r="H51" s="32">
        <v>0</v>
      </c>
      <c r="I51" s="32">
        <v>4.24999550000007</v>
      </c>
      <c r="J51" s="39">
        <v>0</v>
      </c>
      <c r="K51" s="39">
        <v>0</v>
      </c>
      <c r="L51" s="39">
        <v>0</v>
      </c>
      <c r="M51" s="40">
        <v>0.896440352863769</v>
      </c>
      <c r="N51" s="39">
        <v>0</v>
      </c>
      <c r="O51" s="40">
        <v>2.8110546787113302</v>
      </c>
      <c r="P51" s="39">
        <v>10</v>
      </c>
      <c r="Q51" s="39">
        <v>6.6142533061771003</v>
      </c>
      <c r="R51" s="39">
        <v>28.1105467871133</v>
      </c>
    </row>
    <row r="52" spans="1:18" hidden="1" x14ac:dyDescent="0.25">
      <c r="A52" s="37" t="s">
        <v>57</v>
      </c>
      <c r="B52" s="32">
        <v>2.2499954999999101</v>
      </c>
      <c r="C52" s="38" t="s">
        <v>55</v>
      </c>
      <c r="D52" s="38" t="s">
        <v>56</v>
      </c>
      <c r="E52" s="32">
        <v>0</v>
      </c>
      <c r="F52" s="32">
        <v>2.2499954999999101</v>
      </c>
      <c r="G52" s="32">
        <v>0</v>
      </c>
      <c r="H52" s="32">
        <v>0</v>
      </c>
      <c r="I52" s="32">
        <v>2.2499954999999101</v>
      </c>
      <c r="J52" s="39">
        <v>0</v>
      </c>
      <c r="K52" s="39">
        <v>0</v>
      </c>
      <c r="L52" s="39">
        <v>0</v>
      </c>
      <c r="M52" s="40">
        <v>0.34896112499295201</v>
      </c>
      <c r="N52" s="39">
        <v>0</v>
      </c>
      <c r="O52" s="40">
        <v>1.0270070880503199</v>
      </c>
      <c r="P52" s="39">
        <v>10</v>
      </c>
      <c r="Q52" s="39">
        <v>4.5644850758606399</v>
      </c>
      <c r="R52" s="39">
        <v>10.2700708805032</v>
      </c>
    </row>
    <row r="53" spans="1:18" hidden="1" x14ac:dyDescent="0.25">
      <c r="A53" s="37" t="s">
        <v>58</v>
      </c>
      <c r="B53" s="32">
        <v>18.500008999999899</v>
      </c>
      <c r="C53" s="38" t="s">
        <v>55</v>
      </c>
      <c r="D53" s="38" t="s">
        <v>56</v>
      </c>
      <c r="E53" s="32">
        <v>0</v>
      </c>
      <c r="F53" s="32">
        <v>18.500008999999899</v>
      </c>
      <c r="G53" s="32">
        <v>0</v>
      </c>
      <c r="H53" s="32">
        <v>0</v>
      </c>
      <c r="I53" s="32">
        <v>18.500008999999899</v>
      </c>
      <c r="J53" s="39">
        <v>0</v>
      </c>
      <c r="K53" s="39">
        <v>0</v>
      </c>
      <c r="L53" s="39">
        <v>0</v>
      </c>
      <c r="M53" s="40">
        <v>1.8363279431147801</v>
      </c>
      <c r="N53" s="39">
        <v>0</v>
      </c>
      <c r="O53" s="40">
        <v>3.2151661422927198</v>
      </c>
      <c r="P53" s="39">
        <v>10</v>
      </c>
      <c r="Q53" s="39">
        <v>1.7379267990046601</v>
      </c>
      <c r="R53" s="39">
        <v>32.151661422927198</v>
      </c>
    </row>
    <row r="54" spans="1:18" hidden="1" x14ac:dyDescent="0.25">
      <c r="A54" s="37" t="s">
        <v>59</v>
      </c>
      <c r="B54" s="32">
        <v>24.999999999999901</v>
      </c>
      <c r="C54" s="38" t="s">
        <v>55</v>
      </c>
      <c r="D54" s="38" t="s">
        <v>56</v>
      </c>
      <c r="E54" s="32">
        <v>0</v>
      </c>
      <c r="F54" s="32">
        <v>11.102670224471799</v>
      </c>
      <c r="G54" s="32">
        <v>13.8973297755281</v>
      </c>
      <c r="H54" s="32">
        <v>0</v>
      </c>
      <c r="I54" s="32">
        <v>24.999999999999901</v>
      </c>
      <c r="J54" s="39">
        <v>0</v>
      </c>
      <c r="K54" s="39">
        <v>0</v>
      </c>
      <c r="L54" s="39">
        <v>0</v>
      </c>
      <c r="M54" s="40">
        <v>2.48152301594132</v>
      </c>
      <c r="N54" s="39">
        <v>0</v>
      </c>
      <c r="O54" s="40">
        <v>6.0367107671644904</v>
      </c>
      <c r="P54" s="39">
        <v>10</v>
      </c>
      <c r="Q54" s="39">
        <v>2.4146843068658002</v>
      </c>
      <c r="R54" s="39">
        <v>60.367107671644902</v>
      </c>
    </row>
    <row r="55" spans="1:18" hidden="1" x14ac:dyDescent="0.25">
      <c r="A55" s="37" t="s">
        <v>60</v>
      </c>
      <c r="B55" s="32">
        <v>19.050046779875501</v>
      </c>
      <c r="C55" s="38" t="s">
        <v>55</v>
      </c>
      <c r="D55" s="38" t="s">
        <v>56</v>
      </c>
      <c r="E55" s="32">
        <v>0</v>
      </c>
      <c r="F55" s="32">
        <v>0</v>
      </c>
      <c r="G55" s="32">
        <v>19.050046779875501</v>
      </c>
      <c r="H55" s="32">
        <v>0</v>
      </c>
      <c r="I55" s="32">
        <v>19.050046779875501</v>
      </c>
      <c r="J55" s="39">
        <v>0</v>
      </c>
      <c r="K55" s="39">
        <v>0</v>
      </c>
      <c r="L55" s="39">
        <v>0</v>
      </c>
      <c r="M55" s="40">
        <v>1.8909251508963201</v>
      </c>
      <c r="N55" s="39">
        <v>0</v>
      </c>
      <c r="O55" s="40">
        <v>7.48417250180833</v>
      </c>
      <c r="P55" s="39">
        <v>10</v>
      </c>
      <c r="Q55" s="39">
        <v>3.9286898285806799</v>
      </c>
      <c r="R55" s="39">
        <v>74.841725018083295</v>
      </c>
    </row>
    <row r="56" spans="1:18" hidden="1" x14ac:dyDescent="0.25">
      <c r="A56" s="37" t="s">
        <v>61</v>
      </c>
      <c r="B56" s="32">
        <v>1.5833333333333199</v>
      </c>
      <c r="C56" s="38" t="s">
        <v>55</v>
      </c>
      <c r="D56" s="38" t="s">
        <v>56</v>
      </c>
      <c r="E56" s="32">
        <v>0</v>
      </c>
      <c r="F56" s="32">
        <v>0</v>
      </c>
      <c r="G56" s="32">
        <v>1.5833333333333199</v>
      </c>
      <c r="H56" s="32">
        <v>0</v>
      </c>
      <c r="I56" s="32">
        <v>1.5833333333333199</v>
      </c>
      <c r="J56" s="39">
        <v>0</v>
      </c>
      <c r="K56" s="39">
        <v>0</v>
      </c>
      <c r="L56" s="39">
        <v>0</v>
      </c>
      <c r="M56" s="40">
        <v>0.21937248547216101</v>
      </c>
      <c r="N56" s="39">
        <v>0</v>
      </c>
      <c r="O56" s="40">
        <v>1.4899607305642599</v>
      </c>
      <c r="P56" s="39">
        <v>10</v>
      </c>
      <c r="Q56" s="39">
        <v>9.4102782983006605</v>
      </c>
      <c r="R56" s="39">
        <v>14.899607305642601</v>
      </c>
    </row>
    <row r="57" spans="1:18" hidden="1" x14ac:dyDescent="0.25">
      <c r="A57" s="37" t="s">
        <v>62</v>
      </c>
      <c r="B57" s="32">
        <v>3.58333333333329</v>
      </c>
      <c r="C57" s="38" t="s">
        <v>55</v>
      </c>
      <c r="D57" s="38" t="s">
        <v>56</v>
      </c>
      <c r="E57" s="32">
        <v>0</v>
      </c>
      <c r="F57" s="32">
        <v>0</v>
      </c>
      <c r="G57" s="32">
        <v>3.58333333333329</v>
      </c>
      <c r="H57" s="32">
        <v>0</v>
      </c>
      <c r="I57" s="32">
        <v>3.58333333333329</v>
      </c>
      <c r="J57" s="39">
        <v>0</v>
      </c>
      <c r="K57" s="39">
        <v>0</v>
      </c>
      <c r="L57" s="39">
        <v>0</v>
      </c>
      <c r="M57" s="40">
        <v>0.63726418807602603</v>
      </c>
      <c r="N57" s="39">
        <v>0</v>
      </c>
      <c r="O57" s="40">
        <v>4.9195971676682202</v>
      </c>
      <c r="P57" s="39">
        <v>10</v>
      </c>
      <c r="Q57" s="39">
        <v>13.729108374888201</v>
      </c>
      <c r="R57" s="39">
        <v>49.195971676682198</v>
      </c>
    </row>
    <row r="58" spans="1:18" hidden="1" x14ac:dyDescent="0.25">
      <c r="A58" s="37" t="s">
        <v>63</v>
      </c>
      <c r="B58" s="32">
        <v>0.78328655345776299</v>
      </c>
      <c r="C58" s="38" t="s">
        <v>55</v>
      </c>
      <c r="D58" s="38" t="s">
        <v>56</v>
      </c>
      <c r="E58" s="32">
        <v>0</v>
      </c>
      <c r="F58" s="32">
        <v>0</v>
      </c>
      <c r="G58" s="32">
        <v>0.78328655345776299</v>
      </c>
      <c r="H58" s="32">
        <v>0</v>
      </c>
      <c r="I58" s="32">
        <v>0.78328655345776299</v>
      </c>
      <c r="J58" s="39">
        <v>0</v>
      </c>
      <c r="K58" s="39">
        <v>0</v>
      </c>
      <c r="L58" s="39">
        <v>0</v>
      </c>
      <c r="M58" s="40">
        <v>0.139300596145154</v>
      </c>
      <c r="N58" s="39">
        <v>0</v>
      </c>
      <c r="O58" s="40">
        <v>1.0529368193920401</v>
      </c>
      <c r="P58" s="39">
        <v>10</v>
      </c>
      <c r="Q58" s="39">
        <v>13.4425494060114</v>
      </c>
      <c r="R58" s="39">
        <v>10.5293681939204</v>
      </c>
    </row>
    <row r="59" spans="1:18" hidden="1" x14ac:dyDescent="0.25">
      <c r="A59" s="37" t="s">
        <v>64</v>
      </c>
      <c r="B59" s="32">
        <v>2.80004677987553</v>
      </c>
      <c r="C59" s="38" t="s">
        <v>55</v>
      </c>
      <c r="D59" s="38" t="s">
        <v>56</v>
      </c>
      <c r="E59" s="32">
        <v>0</v>
      </c>
      <c r="F59" s="32">
        <v>0</v>
      </c>
      <c r="G59" s="32">
        <v>2.80004677987553</v>
      </c>
      <c r="H59" s="32">
        <v>0</v>
      </c>
      <c r="I59" s="32">
        <v>2.80004677987553</v>
      </c>
      <c r="J59" s="39">
        <v>0</v>
      </c>
      <c r="K59" s="39">
        <v>0</v>
      </c>
      <c r="L59" s="39">
        <v>0</v>
      </c>
      <c r="M59" s="40">
        <v>0.49796359193087197</v>
      </c>
      <c r="N59" s="39">
        <v>0</v>
      </c>
      <c r="O59" s="40">
        <v>3.6854494161071698</v>
      </c>
      <c r="P59" s="39">
        <v>10</v>
      </c>
      <c r="Q59" s="39">
        <v>13.1620994427493</v>
      </c>
      <c r="R59" s="39">
        <v>36.854494161071699</v>
      </c>
    </row>
    <row r="60" spans="1:18" hidden="1" x14ac:dyDescent="0.25">
      <c r="A60" s="37" t="s">
        <v>65</v>
      </c>
      <c r="B60" s="32">
        <v>1.5833333333333199</v>
      </c>
      <c r="C60" s="38" t="s">
        <v>55</v>
      </c>
      <c r="D60" s="38" t="s">
        <v>56</v>
      </c>
      <c r="E60" s="32">
        <v>0</v>
      </c>
      <c r="F60" s="32">
        <v>0</v>
      </c>
      <c r="G60" s="32">
        <v>1.5833333333333199</v>
      </c>
      <c r="H60" s="32">
        <v>0</v>
      </c>
      <c r="I60" s="32">
        <v>1.5833333333333199</v>
      </c>
      <c r="J60" s="39">
        <v>0</v>
      </c>
      <c r="K60" s="39">
        <v>0</v>
      </c>
      <c r="L60" s="39">
        <v>0</v>
      </c>
      <c r="M60" s="40">
        <v>0.21937248840531301</v>
      </c>
      <c r="N60" s="39">
        <v>0</v>
      </c>
      <c r="O60" s="40">
        <v>1.4314319586120201</v>
      </c>
      <c r="P60" s="39">
        <v>10</v>
      </c>
      <c r="Q60" s="39">
        <v>9.0406228964970392</v>
      </c>
      <c r="R60" s="39">
        <v>14.314319586120099</v>
      </c>
    </row>
    <row r="61" spans="1:18" hidden="1" x14ac:dyDescent="0.25">
      <c r="A61" s="37" t="s">
        <v>66</v>
      </c>
      <c r="B61" s="32">
        <v>20.616619886791099</v>
      </c>
      <c r="C61" s="38" t="s">
        <v>55</v>
      </c>
      <c r="D61" s="38" t="s">
        <v>56</v>
      </c>
      <c r="E61" s="32">
        <v>0</v>
      </c>
      <c r="F61" s="32">
        <v>0</v>
      </c>
      <c r="G61" s="32">
        <v>20.616619886791099</v>
      </c>
      <c r="H61" s="32">
        <v>0</v>
      </c>
      <c r="I61" s="32">
        <v>20.616619886791099</v>
      </c>
      <c r="J61" s="39">
        <v>0</v>
      </c>
      <c r="K61" s="39">
        <v>0</v>
      </c>
      <c r="L61" s="39">
        <v>0</v>
      </c>
      <c r="M61" s="40">
        <v>2.0464246954317802</v>
      </c>
      <c r="N61" s="39">
        <v>0</v>
      </c>
      <c r="O61" s="40">
        <v>10.0464011607581</v>
      </c>
      <c r="P61" s="39">
        <v>10</v>
      </c>
      <c r="Q61" s="39">
        <v>4.8729623070728403</v>
      </c>
      <c r="R61" s="39">
        <v>100.464011607581</v>
      </c>
    </row>
    <row r="62" spans="1:18" hidden="1" x14ac:dyDescent="0.25">
      <c r="A62" s="37" t="s">
        <v>67</v>
      </c>
      <c r="B62" s="32">
        <v>24.999999999999901</v>
      </c>
      <c r="C62" s="38" t="s">
        <v>55</v>
      </c>
      <c r="D62" s="38" t="s">
        <v>56</v>
      </c>
      <c r="E62" s="32">
        <v>0</v>
      </c>
      <c r="F62" s="32">
        <v>0</v>
      </c>
      <c r="G62" s="32">
        <v>24.999999999999901</v>
      </c>
      <c r="H62" s="32">
        <v>0</v>
      </c>
      <c r="I62" s="32">
        <v>24.999999999999901</v>
      </c>
      <c r="J62" s="39">
        <v>0</v>
      </c>
      <c r="K62" s="39">
        <v>0</v>
      </c>
      <c r="L62" s="39">
        <v>0</v>
      </c>
      <c r="M62" s="40">
        <v>2.4815230462959001</v>
      </c>
      <c r="N62" s="39">
        <v>0</v>
      </c>
      <c r="O62" s="40">
        <v>12.3459861836104</v>
      </c>
      <c r="P62" s="39">
        <v>10</v>
      </c>
      <c r="Q62" s="39">
        <v>4.9383944734441698</v>
      </c>
      <c r="R62" s="39">
        <v>123.459861836104</v>
      </c>
    </row>
    <row r="63" spans="1:18" hidden="1" x14ac:dyDescent="0.25">
      <c r="A63" s="37" t="s">
        <v>68</v>
      </c>
      <c r="B63" s="32">
        <v>9.9735589084327394</v>
      </c>
      <c r="C63" s="38" t="s">
        <v>55</v>
      </c>
      <c r="D63" s="38" t="s">
        <v>56</v>
      </c>
      <c r="E63" s="32">
        <v>0</v>
      </c>
      <c r="F63" s="32">
        <v>0</v>
      </c>
      <c r="G63" s="32">
        <v>9.9735589084327394</v>
      </c>
      <c r="H63" s="32">
        <v>0</v>
      </c>
      <c r="I63" s="32">
        <v>9.9735589084327394</v>
      </c>
      <c r="J63" s="39">
        <v>0</v>
      </c>
      <c r="K63" s="39">
        <v>0</v>
      </c>
      <c r="L63" s="39">
        <v>0</v>
      </c>
      <c r="M63" s="40">
        <v>0.98998465139462899</v>
      </c>
      <c r="N63" s="39">
        <v>0</v>
      </c>
      <c r="O63" s="40">
        <v>5.4173174382210698</v>
      </c>
      <c r="P63" s="39">
        <v>10</v>
      </c>
      <c r="Q63" s="39">
        <v>5.4316793914363704</v>
      </c>
      <c r="R63" s="39">
        <v>54.173174382210703</v>
      </c>
    </row>
    <row r="64" spans="1:18" hidden="1" x14ac:dyDescent="0.25">
      <c r="A64" s="37" t="s">
        <v>69</v>
      </c>
      <c r="B64" s="32">
        <v>2.999994</v>
      </c>
      <c r="C64" s="38" t="s">
        <v>55</v>
      </c>
      <c r="D64" s="38" t="s">
        <v>56</v>
      </c>
      <c r="E64" s="32">
        <v>0</v>
      </c>
      <c r="F64" s="32">
        <v>0</v>
      </c>
      <c r="G64" s="32">
        <v>2.999994</v>
      </c>
      <c r="H64" s="32">
        <v>0</v>
      </c>
      <c r="I64" s="32">
        <v>2.999994</v>
      </c>
      <c r="J64" s="39">
        <v>0</v>
      </c>
      <c r="K64" s="39">
        <v>0</v>
      </c>
      <c r="L64" s="39">
        <v>0</v>
      </c>
      <c r="M64" s="40">
        <v>0.52111460999083703</v>
      </c>
      <c r="N64" s="39">
        <v>0</v>
      </c>
      <c r="O64" s="40">
        <v>4.1226831129477297</v>
      </c>
      <c r="P64" s="39">
        <v>10</v>
      </c>
      <c r="Q64" s="39">
        <v>13.7423045277681</v>
      </c>
      <c r="R64" s="39">
        <v>41.226831129477297</v>
      </c>
    </row>
    <row r="65" spans="1:18" hidden="1" x14ac:dyDescent="0.25">
      <c r="A65" s="37" t="s">
        <v>70</v>
      </c>
      <c r="B65" s="32">
        <v>4.9999939999999796</v>
      </c>
      <c r="C65" s="38" t="s">
        <v>55</v>
      </c>
      <c r="D65" s="38" t="s">
        <v>56</v>
      </c>
      <c r="E65" s="32">
        <v>0</v>
      </c>
      <c r="F65" s="32">
        <v>0</v>
      </c>
      <c r="G65" s="32">
        <v>4.9999939999999796</v>
      </c>
      <c r="H65" s="32">
        <v>0</v>
      </c>
      <c r="I65" s="32">
        <v>4.9999939999999796</v>
      </c>
      <c r="J65" s="39">
        <v>0</v>
      </c>
      <c r="K65" s="39">
        <v>0</v>
      </c>
      <c r="L65" s="39">
        <v>0</v>
      </c>
      <c r="M65" s="40">
        <v>1.24074608274703</v>
      </c>
      <c r="N65" s="39">
        <v>0</v>
      </c>
      <c r="O65" s="40">
        <v>10.925115452070401</v>
      </c>
      <c r="P65" s="39">
        <v>10</v>
      </c>
      <c r="Q65" s="39">
        <v>21.850257124449499</v>
      </c>
      <c r="R65" s="39">
        <v>109.25115452070401</v>
      </c>
    </row>
    <row r="66" spans="1:18" hidden="1" x14ac:dyDescent="0.25">
      <c r="A66" s="37" t="s">
        <v>71</v>
      </c>
      <c r="B66" s="32">
        <v>4.9999939999999796</v>
      </c>
      <c r="C66" s="38" t="s">
        <v>39</v>
      </c>
      <c r="D66" s="38" t="s">
        <v>56</v>
      </c>
      <c r="E66" s="32">
        <v>0</v>
      </c>
      <c r="F66" s="32">
        <v>0</v>
      </c>
      <c r="G66" s="32">
        <v>4.9999939999999796</v>
      </c>
      <c r="H66" s="32">
        <v>0</v>
      </c>
      <c r="I66" s="32">
        <v>4.9999939999999796</v>
      </c>
      <c r="J66" s="39">
        <v>0</v>
      </c>
      <c r="K66" s="39">
        <v>0</v>
      </c>
      <c r="L66" s="39">
        <v>0</v>
      </c>
      <c r="M66" s="40">
        <v>1.24074608274703</v>
      </c>
      <c r="N66" s="39">
        <v>0</v>
      </c>
      <c r="O66" s="40">
        <v>11.6414135397591</v>
      </c>
      <c r="P66" s="39">
        <v>10</v>
      </c>
      <c r="Q66" s="39">
        <v>23.2828550189443</v>
      </c>
      <c r="R66" s="39">
        <v>116.414135397591</v>
      </c>
    </row>
    <row r="67" spans="1:18" hidden="1" x14ac:dyDescent="0.25">
      <c r="A67" s="37" t="s">
        <v>72</v>
      </c>
      <c r="B67" s="32">
        <v>2.02645909156722</v>
      </c>
      <c r="C67" s="38" t="s">
        <v>39</v>
      </c>
      <c r="D67" s="38" t="s">
        <v>56</v>
      </c>
      <c r="E67" s="32">
        <v>0</v>
      </c>
      <c r="F67" s="32">
        <v>0</v>
      </c>
      <c r="G67" s="32">
        <v>2.02645909156722</v>
      </c>
      <c r="H67" s="32">
        <v>0</v>
      </c>
      <c r="I67" s="32">
        <v>2.02645909156722</v>
      </c>
      <c r="J67" s="39">
        <v>0</v>
      </c>
      <c r="K67" s="39">
        <v>0</v>
      </c>
      <c r="L67" s="39">
        <v>0</v>
      </c>
      <c r="M67" s="40">
        <v>0.50286483661169501</v>
      </c>
      <c r="N67" s="39">
        <v>0</v>
      </c>
      <c r="O67" s="40">
        <v>4.3202762783706401</v>
      </c>
      <c r="P67" s="39">
        <v>10</v>
      </c>
      <c r="Q67" s="39">
        <v>21.3193362567681</v>
      </c>
      <c r="R67" s="39">
        <v>43.202762783706397</v>
      </c>
    </row>
    <row r="68" spans="1:18" hidden="1" x14ac:dyDescent="0.25">
      <c r="A68" s="37" t="s">
        <v>73</v>
      </c>
      <c r="B68" s="32">
        <v>0.97353490843278501</v>
      </c>
      <c r="C68" s="38" t="s">
        <v>39</v>
      </c>
      <c r="D68" s="38" t="s">
        <v>56</v>
      </c>
      <c r="E68" s="32">
        <v>0</v>
      </c>
      <c r="F68" s="32">
        <v>0</v>
      </c>
      <c r="G68" s="32">
        <v>0.97353490843278501</v>
      </c>
      <c r="H68" s="32">
        <v>0</v>
      </c>
      <c r="I68" s="32">
        <v>0.97353490843278501</v>
      </c>
      <c r="J68" s="39">
        <v>0</v>
      </c>
      <c r="K68" s="39">
        <v>0</v>
      </c>
      <c r="L68" s="39">
        <v>0</v>
      </c>
      <c r="M68" s="40">
        <v>0.169108092922991</v>
      </c>
      <c r="N68" s="39">
        <v>0</v>
      </c>
      <c r="O68" s="40">
        <v>1.1567302435365501</v>
      </c>
      <c r="P68" s="39">
        <v>10</v>
      </c>
      <c r="Q68" s="39">
        <v>11.8817541468408</v>
      </c>
      <c r="R68" s="39">
        <v>11.5673024353655</v>
      </c>
    </row>
    <row r="69" spans="1:18" hidden="1" x14ac:dyDescent="0.25">
      <c r="A69" s="37" t="s">
        <v>74</v>
      </c>
      <c r="B69" s="32">
        <v>24.026465091567101</v>
      </c>
      <c r="C69" s="38" t="s">
        <v>39</v>
      </c>
      <c r="D69" s="38" t="s">
        <v>56</v>
      </c>
      <c r="E69" s="32">
        <v>0</v>
      </c>
      <c r="F69" s="32">
        <v>0</v>
      </c>
      <c r="G69" s="32">
        <v>24.026465091567101</v>
      </c>
      <c r="H69" s="32">
        <v>0</v>
      </c>
      <c r="I69" s="32">
        <v>24.026465091567101</v>
      </c>
      <c r="J69" s="39">
        <v>0</v>
      </c>
      <c r="K69" s="39">
        <v>0</v>
      </c>
      <c r="L69" s="39">
        <v>0</v>
      </c>
      <c r="M69" s="40">
        <v>2.3848890738299202</v>
      </c>
      <c r="N69" s="39">
        <v>0</v>
      </c>
      <c r="O69" s="40">
        <v>13.4393392574722</v>
      </c>
      <c r="P69" s="39">
        <v>10</v>
      </c>
      <c r="Q69" s="39">
        <v>5.5935566077879502</v>
      </c>
      <c r="R69" s="39">
        <v>134.39339257472199</v>
      </c>
    </row>
    <row r="70" spans="1:18" hidden="1" x14ac:dyDescent="0.25">
      <c r="A70" s="37" t="s">
        <v>75</v>
      </c>
      <c r="B70" s="32">
        <v>24.999999999999901</v>
      </c>
      <c r="C70" s="38" t="s">
        <v>39</v>
      </c>
      <c r="D70" s="38" t="s">
        <v>56</v>
      </c>
      <c r="E70" s="32">
        <v>0</v>
      </c>
      <c r="F70" s="32">
        <v>0</v>
      </c>
      <c r="G70" s="32">
        <v>24.999999999999901</v>
      </c>
      <c r="H70" s="32">
        <v>0</v>
      </c>
      <c r="I70" s="32">
        <v>24.999999999999901</v>
      </c>
      <c r="J70" s="39">
        <v>0</v>
      </c>
      <c r="K70" s="39">
        <v>0</v>
      </c>
      <c r="L70" s="39">
        <v>0</v>
      </c>
      <c r="M70" s="40">
        <v>2.4815230462959001</v>
      </c>
      <c r="N70" s="39">
        <v>0</v>
      </c>
      <c r="O70" s="40">
        <v>13.9248725412629</v>
      </c>
      <c r="P70" s="39">
        <v>10</v>
      </c>
      <c r="Q70" s="39">
        <v>5.5699490165051904</v>
      </c>
      <c r="R70" s="39">
        <v>139.248725412629</v>
      </c>
    </row>
    <row r="71" spans="1:18" hidden="1" x14ac:dyDescent="0.25">
      <c r="A71" s="37" t="s">
        <v>76</v>
      </c>
      <c r="B71" s="32">
        <v>24.999999999999901</v>
      </c>
      <c r="C71" s="38" t="s">
        <v>39</v>
      </c>
      <c r="D71" s="38" t="s">
        <v>56</v>
      </c>
      <c r="E71" s="32">
        <v>0</v>
      </c>
      <c r="F71" s="32">
        <v>0</v>
      </c>
      <c r="G71" s="32">
        <v>24.999999999999901</v>
      </c>
      <c r="H71" s="32">
        <v>0</v>
      </c>
      <c r="I71" s="32">
        <v>24.999999999999901</v>
      </c>
      <c r="J71" s="39">
        <v>0</v>
      </c>
      <c r="K71" s="39">
        <v>0</v>
      </c>
      <c r="L71" s="39">
        <v>0</v>
      </c>
      <c r="M71" s="40">
        <v>2.4815230462959001</v>
      </c>
      <c r="N71" s="39">
        <v>0</v>
      </c>
      <c r="O71" s="40">
        <v>14.009799660218601</v>
      </c>
      <c r="P71" s="39">
        <v>10</v>
      </c>
      <c r="Q71" s="39">
        <v>5.6039198640874401</v>
      </c>
      <c r="R71" s="39">
        <v>140.09799660218599</v>
      </c>
    </row>
    <row r="72" spans="1:18" hidden="1" x14ac:dyDescent="0.25">
      <c r="A72" s="37" t="s">
        <v>77</v>
      </c>
      <c r="B72" s="32">
        <v>24.999999999999901</v>
      </c>
      <c r="C72" s="38" t="s">
        <v>39</v>
      </c>
      <c r="D72" s="38" t="s">
        <v>56</v>
      </c>
      <c r="E72" s="32">
        <v>0</v>
      </c>
      <c r="F72" s="32">
        <v>0</v>
      </c>
      <c r="G72" s="32">
        <v>24.999999999999901</v>
      </c>
      <c r="H72" s="32">
        <v>0</v>
      </c>
      <c r="I72" s="32">
        <v>24.999999999999901</v>
      </c>
      <c r="J72" s="39">
        <v>0</v>
      </c>
      <c r="K72" s="39">
        <v>0</v>
      </c>
      <c r="L72" s="39">
        <v>0</v>
      </c>
      <c r="M72" s="40">
        <v>2.4815230462959001</v>
      </c>
      <c r="N72" s="39">
        <v>0</v>
      </c>
      <c r="O72" s="40">
        <v>14.065107096877099</v>
      </c>
      <c r="P72" s="39">
        <v>10</v>
      </c>
      <c r="Q72" s="39">
        <v>5.6260428387508803</v>
      </c>
      <c r="R72" s="39">
        <v>140.65107096877099</v>
      </c>
    </row>
    <row r="73" spans="1:18" hidden="1" x14ac:dyDescent="0.25">
      <c r="A73" s="37" t="s">
        <v>78</v>
      </c>
      <c r="B73" s="32">
        <v>24.999999999999901</v>
      </c>
      <c r="C73" s="38" t="s">
        <v>39</v>
      </c>
      <c r="D73" s="38" t="s">
        <v>56</v>
      </c>
      <c r="E73" s="32">
        <v>0</v>
      </c>
      <c r="F73" s="32">
        <v>0</v>
      </c>
      <c r="G73" s="32">
        <v>24.999999999999901</v>
      </c>
      <c r="H73" s="32">
        <v>0</v>
      </c>
      <c r="I73" s="32">
        <v>24.999999999999901</v>
      </c>
      <c r="J73" s="39">
        <v>0</v>
      </c>
      <c r="K73" s="39">
        <v>0</v>
      </c>
      <c r="L73" s="39">
        <v>0</v>
      </c>
      <c r="M73" s="40">
        <v>2.4815230462959001</v>
      </c>
      <c r="N73" s="39">
        <v>0</v>
      </c>
      <c r="O73" s="40">
        <v>14.1722912631641</v>
      </c>
      <c r="P73" s="39">
        <v>10</v>
      </c>
      <c r="Q73" s="39">
        <v>5.6689165052656403</v>
      </c>
      <c r="R73" s="39">
        <v>141.72291263164101</v>
      </c>
    </row>
    <row r="74" spans="1:18" hidden="1" x14ac:dyDescent="0.25">
      <c r="A74" s="37" t="s">
        <v>79</v>
      </c>
      <c r="B74" s="32">
        <v>24.999999999999901</v>
      </c>
      <c r="C74" s="38" t="s">
        <v>39</v>
      </c>
      <c r="D74" s="38" t="s">
        <v>56</v>
      </c>
      <c r="E74" s="32">
        <v>0</v>
      </c>
      <c r="F74" s="32">
        <v>0</v>
      </c>
      <c r="G74" s="32">
        <v>24.999999999999901</v>
      </c>
      <c r="H74" s="32">
        <v>0</v>
      </c>
      <c r="I74" s="32">
        <v>24.999999999999901</v>
      </c>
      <c r="J74" s="39">
        <v>0</v>
      </c>
      <c r="K74" s="39">
        <v>0</v>
      </c>
      <c r="L74" s="39">
        <v>0</v>
      </c>
      <c r="M74" s="40">
        <v>2.4815230462959001</v>
      </c>
      <c r="N74" s="39">
        <v>0</v>
      </c>
      <c r="O74" s="40">
        <v>14.2400613120023</v>
      </c>
      <c r="P74" s="39">
        <v>10</v>
      </c>
      <c r="Q74" s="39">
        <v>5.69602452480094</v>
      </c>
      <c r="R74" s="39">
        <v>142.400613120023</v>
      </c>
    </row>
    <row r="75" spans="1:18" hidden="1" x14ac:dyDescent="0.25">
      <c r="A75" s="37" t="s">
        <v>80</v>
      </c>
      <c r="B75" s="32">
        <v>24.999999999999901</v>
      </c>
      <c r="C75" s="38" t="s">
        <v>39</v>
      </c>
      <c r="D75" s="38" t="s">
        <v>56</v>
      </c>
      <c r="E75" s="32">
        <v>0</v>
      </c>
      <c r="F75" s="32">
        <v>0</v>
      </c>
      <c r="G75" s="32">
        <v>24.999999999999901</v>
      </c>
      <c r="H75" s="32">
        <v>0</v>
      </c>
      <c r="I75" s="32">
        <v>24.999999999999901</v>
      </c>
      <c r="J75" s="39">
        <v>0</v>
      </c>
      <c r="K75" s="39">
        <v>0</v>
      </c>
      <c r="L75" s="39">
        <v>0</v>
      </c>
      <c r="M75" s="40">
        <v>2.4815230462959001</v>
      </c>
      <c r="N75" s="39">
        <v>0</v>
      </c>
      <c r="O75" s="40">
        <v>14.387163992390001</v>
      </c>
      <c r="P75" s="39">
        <v>10</v>
      </c>
      <c r="Q75" s="39">
        <v>5.7548655969560301</v>
      </c>
      <c r="R75" s="39">
        <v>143.87163992390001</v>
      </c>
    </row>
    <row r="76" spans="1:18" hidden="1" x14ac:dyDescent="0.25">
      <c r="A76" s="37" t="s">
        <v>81</v>
      </c>
      <c r="B76" s="32">
        <v>24.999999999999901</v>
      </c>
      <c r="C76" s="38" t="s">
        <v>39</v>
      </c>
      <c r="D76" s="38" t="s">
        <v>56</v>
      </c>
      <c r="E76" s="32">
        <v>0</v>
      </c>
      <c r="F76" s="32">
        <v>0</v>
      </c>
      <c r="G76" s="32">
        <v>24.999999999999901</v>
      </c>
      <c r="H76" s="32">
        <v>0</v>
      </c>
      <c r="I76" s="32">
        <v>24.999999999999901</v>
      </c>
      <c r="J76" s="39">
        <v>0</v>
      </c>
      <c r="K76" s="39">
        <v>0</v>
      </c>
      <c r="L76" s="39">
        <v>0</v>
      </c>
      <c r="M76" s="40">
        <v>2.4815230462959001</v>
      </c>
      <c r="N76" s="39">
        <v>0</v>
      </c>
      <c r="O76" s="40">
        <v>14.4935146298505</v>
      </c>
      <c r="P76" s="39">
        <v>10</v>
      </c>
      <c r="Q76" s="39">
        <v>5.7974058519402103</v>
      </c>
      <c r="R76" s="39">
        <v>144.935146298505</v>
      </c>
    </row>
    <row r="77" spans="1:18" hidden="1" x14ac:dyDescent="0.25">
      <c r="A77" s="37" t="s">
        <v>82</v>
      </c>
      <c r="B77" s="32">
        <v>24.999999999999901</v>
      </c>
      <c r="C77" s="38" t="s">
        <v>39</v>
      </c>
      <c r="D77" s="38" t="s">
        <v>56</v>
      </c>
      <c r="E77" s="32">
        <v>0</v>
      </c>
      <c r="F77" s="32">
        <v>0</v>
      </c>
      <c r="G77" s="32">
        <v>24.999999999999901</v>
      </c>
      <c r="H77" s="32">
        <v>0</v>
      </c>
      <c r="I77" s="32">
        <v>24.999999999999901</v>
      </c>
      <c r="J77" s="39">
        <v>0</v>
      </c>
      <c r="K77" s="39">
        <v>0</v>
      </c>
      <c r="L77" s="39">
        <v>0</v>
      </c>
      <c r="M77" s="40">
        <v>2.4815230462959001</v>
      </c>
      <c r="N77" s="39">
        <v>0</v>
      </c>
      <c r="O77" s="40">
        <v>14.6453406280863</v>
      </c>
      <c r="P77" s="39">
        <v>10</v>
      </c>
      <c r="Q77" s="39">
        <v>5.8581362512345496</v>
      </c>
      <c r="R77" s="39">
        <v>146.45340628086299</v>
      </c>
    </row>
    <row r="78" spans="1:18" hidden="1" x14ac:dyDescent="0.25">
      <c r="A78" s="37" t="s">
        <v>83</v>
      </c>
      <c r="B78" s="32">
        <v>24.999999999999901</v>
      </c>
      <c r="C78" s="38" t="s">
        <v>39</v>
      </c>
      <c r="D78" s="38" t="s">
        <v>56</v>
      </c>
      <c r="E78" s="32">
        <v>0</v>
      </c>
      <c r="F78" s="32">
        <v>0</v>
      </c>
      <c r="G78" s="32">
        <v>24.999999999999901</v>
      </c>
      <c r="H78" s="32">
        <v>0</v>
      </c>
      <c r="I78" s="32">
        <v>24.999999999999901</v>
      </c>
      <c r="J78" s="39">
        <v>0</v>
      </c>
      <c r="K78" s="39">
        <v>0</v>
      </c>
      <c r="L78" s="39">
        <v>0</v>
      </c>
      <c r="M78" s="40">
        <v>2.4815230462959001</v>
      </c>
      <c r="N78" s="39">
        <v>0</v>
      </c>
      <c r="O78" s="40">
        <v>14.759895731955901</v>
      </c>
      <c r="P78" s="39">
        <v>10</v>
      </c>
      <c r="Q78" s="39">
        <v>5.9039582927823799</v>
      </c>
      <c r="R78" s="39">
        <v>147.59895731955899</v>
      </c>
    </row>
    <row r="79" spans="1:18" hidden="1" x14ac:dyDescent="0.25">
      <c r="A79" s="37" t="s">
        <v>84</v>
      </c>
      <c r="B79" s="32">
        <v>24.999999999999901</v>
      </c>
      <c r="C79" s="38" t="s">
        <v>39</v>
      </c>
      <c r="D79" s="38" t="s">
        <v>56</v>
      </c>
      <c r="E79" s="32">
        <v>0</v>
      </c>
      <c r="F79" s="32">
        <v>0</v>
      </c>
      <c r="G79" s="32">
        <v>24.999999999999901</v>
      </c>
      <c r="H79" s="32">
        <v>0</v>
      </c>
      <c r="I79" s="32">
        <v>24.999999999999901</v>
      </c>
      <c r="J79" s="39">
        <v>0</v>
      </c>
      <c r="K79" s="39">
        <v>0</v>
      </c>
      <c r="L79" s="39">
        <v>0</v>
      </c>
      <c r="M79" s="40">
        <v>2.4815230462959001</v>
      </c>
      <c r="N79" s="39">
        <v>0</v>
      </c>
      <c r="O79" s="40">
        <v>14.8185260802359</v>
      </c>
      <c r="P79" s="39">
        <v>10</v>
      </c>
      <c r="Q79" s="39">
        <v>5.9274104320943701</v>
      </c>
      <c r="R79" s="39">
        <v>148.18526080235901</v>
      </c>
    </row>
    <row r="80" spans="1:18" hidden="1" x14ac:dyDescent="0.25">
      <c r="A80" s="37" t="s">
        <v>85</v>
      </c>
      <c r="B80" s="32">
        <v>24.999999999999901</v>
      </c>
      <c r="C80" s="38" t="s">
        <v>39</v>
      </c>
      <c r="D80" s="38" t="s">
        <v>56</v>
      </c>
      <c r="E80" s="32">
        <v>0</v>
      </c>
      <c r="F80" s="32">
        <v>0</v>
      </c>
      <c r="G80" s="32">
        <v>24.999999999999901</v>
      </c>
      <c r="H80" s="32">
        <v>0</v>
      </c>
      <c r="I80" s="32">
        <v>24.999999999999901</v>
      </c>
      <c r="J80" s="39">
        <v>0</v>
      </c>
      <c r="K80" s="39">
        <v>0</v>
      </c>
      <c r="L80" s="39">
        <v>0</v>
      </c>
      <c r="M80" s="40">
        <v>2.4815230462959001</v>
      </c>
      <c r="N80" s="39">
        <v>0</v>
      </c>
      <c r="O80" s="40">
        <v>14.932111077608001</v>
      </c>
      <c r="P80" s="39">
        <v>10</v>
      </c>
      <c r="Q80" s="39">
        <v>5.9728444310432103</v>
      </c>
      <c r="R80" s="39">
        <v>149.32111077607999</v>
      </c>
    </row>
    <row r="81" spans="1:18" hidden="1" x14ac:dyDescent="0.25">
      <c r="A81" s="37" t="s">
        <v>86</v>
      </c>
      <c r="B81" s="32">
        <v>24.999999999999901</v>
      </c>
      <c r="C81" s="38" t="s">
        <v>39</v>
      </c>
      <c r="D81" s="38" t="s">
        <v>56</v>
      </c>
      <c r="E81" s="32">
        <v>0</v>
      </c>
      <c r="F81" s="32">
        <v>0</v>
      </c>
      <c r="G81" s="32">
        <v>24.999999999999901</v>
      </c>
      <c r="H81" s="32">
        <v>0</v>
      </c>
      <c r="I81" s="32">
        <v>24.999999999999901</v>
      </c>
      <c r="J81" s="39">
        <v>0</v>
      </c>
      <c r="K81" s="39">
        <v>0</v>
      </c>
      <c r="L81" s="39">
        <v>0</v>
      </c>
      <c r="M81" s="40">
        <v>2.4815230462959001</v>
      </c>
      <c r="N81" s="39">
        <v>0</v>
      </c>
      <c r="O81" s="40">
        <v>15.003180807545</v>
      </c>
      <c r="P81" s="39">
        <v>10</v>
      </c>
      <c r="Q81" s="39">
        <v>6.0012723230180303</v>
      </c>
      <c r="R81" s="39">
        <v>150.03180807544999</v>
      </c>
    </row>
    <row r="82" spans="1:18" hidden="1" x14ac:dyDescent="0.25">
      <c r="A82" s="37" t="s">
        <v>87</v>
      </c>
      <c r="B82" s="32">
        <v>24.999999999999901</v>
      </c>
      <c r="C82" s="38" t="s">
        <v>39</v>
      </c>
      <c r="D82" s="38" t="s">
        <v>56</v>
      </c>
      <c r="E82" s="32">
        <v>0</v>
      </c>
      <c r="F82" s="32">
        <v>0</v>
      </c>
      <c r="G82" s="32">
        <v>24.999999999999901</v>
      </c>
      <c r="H82" s="32">
        <v>0</v>
      </c>
      <c r="I82" s="32">
        <v>24.999999999999901</v>
      </c>
      <c r="J82" s="39">
        <v>0</v>
      </c>
      <c r="K82" s="39">
        <v>0</v>
      </c>
      <c r="L82" s="39">
        <v>0</v>
      </c>
      <c r="M82" s="40">
        <v>2.4815230462959001</v>
      </c>
      <c r="N82" s="39">
        <v>0</v>
      </c>
      <c r="O82" s="40">
        <v>15.228780762758101</v>
      </c>
      <c r="P82" s="39">
        <v>10</v>
      </c>
      <c r="Q82" s="39">
        <v>6.0915123051032403</v>
      </c>
      <c r="R82" s="39">
        <v>152.287807627581</v>
      </c>
    </row>
    <row r="83" spans="1:18" hidden="1" x14ac:dyDescent="0.25">
      <c r="A83" s="37" t="s">
        <v>88</v>
      </c>
      <c r="B83" s="32">
        <v>24.999999999999901</v>
      </c>
      <c r="C83" s="38" t="s">
        <v>39</v>
      </c>
      <c r="D83" s="38" t="s">
        <v>56</v>
      </c>
      <c r="E83" s="32">
        <v>0</v>
      </c>
      <c r="F83" s="32">
        <v>0</v>
      </c>
      <c r="G83" s="32">
        <v>24.999999999999901</v>
      </c>
      <c r="H83" s="32">
        <v>0</v>
      </c>
      <c r="I83" s="32">
        <v>24.999999999999901</v>
      </c>
      <c r="J83" s="39">
        <v>0</v>
      </c>
      <c r="K83" s="39">
        <v>0</v>
      </c>
      <c r="L83" s="39">
        <v>0</v>
      </c>
      <c r="M83" s="40">
        <v>2.4815230462959001</v>
      </c>
      <c r="N83" s="39">
        <v>0</v>
      </c>
      <c r="O83" s="40">
        <v>15.3878905877396</v>
      </c>
      <c r="P83" s="39">
        <v>10</v>
      </c>
      <c r="Q83" s="39">
        <v>6.1551562350958697</v>
      </c>
      <c r="R83" s="39">
        <v>153.87890587739599</v>
      </c>
    </row>
    <row r="84" spans="1:18" hidden="1" x14ac:dyDescent="0.25">
      <c r="A84" s="37" t="s">
        <v>89</v>
      </c>
      <c r="B84" s="32">
        <v>24.999999999999901</v>
      </c>
      <c r="C84" s="38" t="s">
        <v>39</v>
      </c>
      <c r="D84" s="38" t="s">
        <v>56</v>
      </c>
      <c r="E84" s="32">
        <v>0</v>
      </c>
      <c r="F84" s="32">
        <v>0</v>
      </c>
      <c r="G84" s="32">
        <v>24.999999999999901</v>
      </c>
      <c r="H84" s="32">
        <v>0</v>
      </c>
      <c r="I84" s="32">
        <v>24.999999999999901</v>
      </c>
      <c r="J84" s="39">
        <v>0</v>
      </c>
      <c r="K84" s="39">
        <v>0</v>
      </c>
      <c r="L84" s="39">
        <v>0</v>
      </c>
      <c r="M84" s="40">
        <v>2.4815230462959001</v>
      </c>
      <c r="N84" s="39">
        <v>0</v>
      </c>
      <c r="O84" s="40">
        <v>15.5270768469909</v>
      </c>
      <c r="P84" s="39">
        <v>10</v>
      </c>
      <c r="Q84" s="39">
        <v>6.2108307387963997</v>
      </c>
      <c r="R84" s="39">
        <v>155.270768469909</v>
      </c>
    </row>
    <row r="85" spans="1:18" hidden="1" x14ac:dyDescent="0.25">
      <c r="A85" s="37" t="s">
        <v>90</v>
      </c>
      <c r="B85" s="32">
        <v>24.999999999999901</v>
      </c>
      <c r="C85" s="38" t="s">
        <v>39</v>
      </c>
      <c r="D85" s="38" t="s">
        <v>56</v>
      </c>
      <c r="E85" s="32">
        <v>0</v>
      </c>
      <c r="F85" s="32">
        <v>0</v>
      </c>
      <c r="G85" s="32">
        <v>24.999999999999901</v>
      </c>
      <c r="H85" s="32">
        <v>0</v>
      </c>
      <c r="I85" s="32">
        <v>24.999999999999901</v>
      </c>
      <c r="J85" s="39">
        <v>0</v>
      </c>
      <c r="K85" s="39">
        <v>0</v>
      </c>
      <c r="L85" s="39">
        <v>0</v>
      </c>
      <c r="M85" s="40">
        <v>2.4815230462959001</v>
      </c>
      <c r="N85" s="39">
        <v>0</v>
      </c>
      <c r="O85" s="40">
        <v>15.6845916458237</v>
      </c>
      <c r="P85" s="39">
        <v>10</v>
      </c>
      <c r="Q85" s="39">
        <v>6.27383665832952</v>
      </c>
      <c r="R85" s="39">
        <v>156.84591645823701</v>
      </c>
    </row>
    <row r="86" spans="1:18" hidden="1" x14ac:dyDescent="0.25">
      <c r="A86" s="37" t="s">
        <v>91</v>
      </c>
      <c r="B86" s="32">
        <v>3.1470842315653198</v>
      </c>
      <c r="C86" s="38" t="s">
        <v>39</v>
      </c>
      <c r="D86" s="38" t="s">
        <v>56</v>
      </c>
      <c r="E86" s="32">
        <v>0</v>
      </c>
      <c r="F86" s="32">
        <v>0</v>
      </c>
      <c r="G86" s="32">
        <v>3.1470842315653198</v>
      </c>
      <c r="H86" s="32">
        <v>0</v>
      </c>
      <c r="I86" s="32">
        <v>3.1470842315653198</v>
      </c>
      <c r="J86" s="39">
        <v>0</v>
      </c>
      <c r="K86" s="39">
        <v>0</v>
      </c>
      <c r="L86" s="39">
        <v>0</v>
      </c>
      <c r="M86" s="40">
        <v>0.31238248197055202</v>
      </c>
      <c r="N86" s="39">
        <v>0</v>
      </c>
      <c r="O86" s="40">
        <v>1.97761000105524</v>
      </c>
      <c r="P86" s="39">
        <v>10</v>
      </c>
      <c r="Q86" s="39">
        <v>6.2839436619451403</v>
      </c>
      <c r="R86" s="39">
        <v>19.776100010552401</v>
      </c>
    </row>
    <row r="87" spans="1:18" hidden="1" x14ac:dyDescent="0.25">
      <c r="A87" s="37" t="s">
        <v>92</v>
      </c>
      <c r="B87" s="32">
        <v>2.999994</v>
      </c>
      <c r="C87" s="38" t="s">
        <v>39</v>
      </c>
      <c r="D87" s="38" t="s">
        <v>56</v>
      </c>
      <c r="E87" s="32">
        <v>0</v>
      </c>
      <c r="F87" s="32">
        <v>0</v>
      </c>
      <c r="G87" s="32">
        <v>2.999994</v>
      </c>
      <c r="H87" s="32">
        <v>0</v>
      </c>
      <c r="I87" s="32">
        <v>2.999994</v>
      </c>
      <c r="J87" s="39">
        <v>0</v>
      </c>
      <c r="K87" s="39">
        <v>0</v>
      </c>
      <c r="L87" s="39">
        <v>0</v>
      </c>
      <c r="M87" s="40">
        <v>0.52111460999083703</v>
      </c>
      <c r="N87" s="39">
        <v>0</v>
      </c>
      <c r="O87" s="40">
        <v>3.8961805618225598</v>
      </c>
      <c r="P87" s="39">
        <v>10</v>
      </c>
      <c r="Q87" s="39">
        <v>12.987294513997499</v>
      </c>
      <c r="R87" s="39">
        <v>38.961805618225597</v>
      </c>
    </row>
    <row r="88" spans="1:18" hidden="1" x14ac:dyDescent="0.25">
      <c r="A88" s="37" t="s">
        <v>93</v>
      </c>
      <c r="B88" s="32">
        <v>4.9999939999999796</v>
      </c>
      <c r="C88" s="38" t="s">
        <v>39</v>
      </c>
      <c r="D88" s="38" t="s">
        <v>56</v>
      </c>
      <c r="E88" s="32">
        <v>0</v>
      </c>
      <c r="F88" s="32">
        <v>0</v>
      </c>
      <c r="G88" s="32">
        <v>4.9999939999999796</v>
      </c>
      <c r="H88" s="32">
        <v>0</v>
      </c>
      <c r="I88" s="32">
        <v>4.9999939999999796</v>
      </c>
      <c r="J88" s="39">
        <v>0</v>
      </c>
      <c r="K88" s="39">
        <v>0</v>
      </c>
      <c r="L88" s="39">
        <v>0</v>
      </c>
      <c r="M88" s="40">
        <v>1.2407460768074099</v>
      </c>
      <c r="N88" s="39">
        <v>0</v>
      </c>
      <c r="O88" s="40">
        <v>9.9686906081578197</v>
      </c>
      <c r="P88" s="39">
        <v>10</v>
      </c>
      <c r="Q88" s="39">
        <v>19.9374051412019</v>
      </c>
      <c r="R88" s="39">
        <v>99.686906081578201</v>
      </c>
    </row>
    <row r="89" spans="1:18" hidden="1" x14ac:dyDescent="0.25">
      <c r="A89" s="37" t="s">
        <v>94</v>
      </c>
      <c r="B89" s="32">
        <v>4.9999939999999796</v>
      </c>
      <c r="C89" s="38" t="s">
        <v>39</v>
      </c>
      <c r="D89" s="38" t="s">
        <v>56</v>
      </c>
      <c r="E89" s="32">
        <v>0</v>
      </c>
      <c r="F89" s="32">
        <v>0</v>
      </c>
      <c r="G89" s="32">
        <v>4.9999939999999796</v>
      </c>
      <c r="H89" s="32">
        <v>0</v>
      </c>
      <c r="I89" s="32">
        <v>4.9999939999999796</v>
      </c>
      <c r="J89" s="39">
        <v>0</v>
      </c>
      <c r="K89" s="39">
        <v>0</v>
      </c>
      <c r="L89" s="39">
        <v>0</v>
      </c>
      <c r="M89" s="40">
        <v>1.2407460768074099</v>
      </c>
      <c r="N89" s="39">
        <v>0</v>
      </c>
      <c r="O89" s="40">
        <v>10.2386515519644</v>
      </c>
      <c r="P89" s="39">
        <v>10</v>
      </c>
      <c r="Q89" s="39">
        <v>20.477327676722101</v>
      </c>
      <c r="R89" s="39">
        <v>102.38651551964401</v>
      </c>
    </row>
    <row r="90" spans="1:18" hidden="1" x14ac:dyDescent="0.25">
      <c r="A90" s="37" t="s">
        <v>95</v>
      </c>
      <c r="B90" s="32">
        <v>2.999994</v>
      </c>
      <c r="C90" s="38" t="s">
        <v>39</v>
      </c>
      <c r="D90" s="38" t="s">
        <v>56</v>
      </c>
      <c r="E90" s="32">
        <v>0</v>
      </c>
      <c r="F90" s="32">
        <v>0</v>
      </c>
      <c r="G90" s="32">
        <v>2.999994</v>
      </c>
      <c r="H90" s="32">
        <v>0</v>
      </c>
      <c r="I90" s="32">
        <v>2.999994</v>
      </c>
      <c r="J90" s="39">
        <v>0</v>
      </c>
      <c r="K90" s="39">
        <v>0</v>
      </c>
      <c r="L90" s="39">
        <v>0</v>
      </c>
      <c r="M90" s="40">
        <v>0.52111460999083703</v>
      </c>
      <c r="N90" s="39">
        <v>0</v>
      </c>
      <c r="O90" s="40">
        <v>4.0931945098692104</v>
      </c>
      <c r="P90" s="39">
        <v>10</v>
      </c>
      <c r="Q90" s="39">
        <v>13.644008987582</v>
      </c>
      <c r="R90" s="39">
        <v>40.931945098692097</v>
      </c>
    </row>
    <row r="91" spans="1:18" hidden="1" x14ac:dyDescent="0.25">
      <c r="A91" s="37" t="s">
        <v>96</v>
      </c>
      <c r="B91" s="32">
        <v>5.8529397684346298</v>
      </c>
      <c r="C91" s="38" t="s">
        <v>39</v>
      </c>
      <c r="D91" s="38" t="s">
        <v>56</v>
      </c>
      <c r="E91" s="32">
        <v>0</v>
      </c>
      <c r="F91" s="32">
        <v>0</v>
      </c>
      <c r="G91" s="32">
        <v>5.8529397684346298</v>
      </c>
      <c r="H91" s="32">
        <v>0</v>
      </c>
      <c r="I91" s="32">
        <v>5.8529397684346298</v>
      </c>
      <c r="J91" s="39">
        <v>0</v>
      </c>
      <c r="K91" s="39">
        <v>0</v>
      </c>
      <c r="L91" s="39">
        <v>0</v>
      </c>
      <c r="M91" s="40">
        <v>0.58096819695809498</v>
      </c>
      <c r="N91" s="39">
        <v>0</v>
      </c>
      <c r="O91" s="40">
        <v>3.7975237955965202</v>
      </c>
      <c r="P91" s="39">
        <v>10</v>
      </c>
      <c r="Q91" s="39">
        <v>6.4882331714344099</v>
      </c>
      <c r="R91" s="39">
        <v>37.975237955965198</v>
      </c>
    </row>
    <row r="92" spans="1:18" hidden="1" x14ac:dyDescent="0.25">
      <c r="A92" s="37" t="s">
        <v>97</v>
      </c>
      <c r="B92" s="32">
        <v>24.999999999999901</v>
      </c>
      <c r="C92" s="38" t="s">
        <v>39</v>
      </c>
      <c r="D92" s="38" t="s">
        <v>56</v>
      </c>
      <c r="E92" s="32">
        <v>0</v>
      </c>
      <c r="F92" s="32">
        <v>0</v>
      </c>
      <c r="G92" s="32">
        <v>24.999999999999901</v>
      </c>
      <c r="H92" s="32">
        <v>0</v>
      </c>
      <c r="I92" s="32">
        <v>24.999999999999901</v>
      </c>
      <c r="J92" s="39">
        <v>0</v>
      </c>
      <c r="K92" s="39">
        <v>0</v>
      </c>
      <c r="L92" s="39">
        <v>0</v>
      </c>
      <c r="M92" s="40">
        <v>2.4815230462959001</v>
      </c>
      <c r="N92" s="39">
        <v>0</v>
      </c>
      <c r="O92" s="40">
        <v>16.354369743542001</v>
      </c>
      <c r="P92" s="39">
        <v>10</v>
      </c>
      <c r="Q92" s="39">
        <v>6.5417478974168404</v>
      </c>
      <c r="R92" s="39">
        <v>163.54369743542</v>
      </c>
    </row>
    <row r="93" spans="1:18" hidden="1" x14ac:dyDescent="0.25">
      <c r="A93" s="37" t="s">
        <v>98</v>
      </c>
      <c r="B93" s="32">
        <v>24.999999999999901</v>
      </c>
      <c r="C93" s="38" t="s">
        <v>39</v>
      </c>
      <c r="D93" s="38" t="s">
        <v>56</v>
      </c>
      <c r="E93" s="32">
        <v>0</v>
      </c>
      <c r="F93" s="32">
        <v>0</v>
      </c>
      <c r="G93" s="32">
        <v>24.999999999999901</v>
      </c>
      <c r="H93" s="32">
        <v>0</v>
      </c>
      <c r="I93" s="32">
        <v>24.999999999999901</v>
      </c>
      <c r="J93" s="39">
        <v>0</v>
      </c>
      <c r="K93" s="39">
        <v>0</v>
      </c>
      <c r="L93" s="39">
        <v>0</v>
      </c>
      <c r="M93" s="40">
        <v>2.4815230462959001</v>
      </c>
      <c r="N93" s="39">
        <v>0</v>
      </c>
      <c r="O93" s="40">
        <v>16.8853997883934</v>
      </c>
      <c r="P93" s="39">
        <v>10</v>
      </c>
      <c r="Q93" s="39">
        <v>6.7541599153573797</v>
      </c>
      <c r="R93" s="39">
        <v>168.853997883934</v>
      </c>
    </row>
    <row r="94" spans="1:18" hidden="1" x14ac:dyDescent="0.25">
      <c r="A94" s="37" t="s">
        <v>99</v>
      </c>
      <c r="B94" s="32">
        <v>24.999999999999901</v>
      </c>
      <c r="C94" s="38" t="s">
        <v>39</v>
      </c>
      <c r="D94" s="38" t="s">
        <v>56</v>
      </c>
      <c r="E94" s="32">
        <v>0</v>
      </c>
      <c r="F94" s="32">
        <v>0</v>
      </c>
      <c r="G94" s="32">
        <v>24.999999999999901</v>
      </c>
      <c r="H94" s="32">
        <v>0</v>
      </c>
      <c r="I94" s="32">
        <v>24.999999999999901</v>
      </c>
      <c r="J94" s="39">
        <v>0</v>
      </c>
      <c r="K94" s="39">
        <v>0</v>
      </c>
      <c r="L94" s="39">
        <v>0</v>
      </c>
      <c r="M94" s="40">
        <v>2.4815230462959001</v>
      </c>
      <c r="N94" s="39">
        <v>0</v>
      </c>
      <c r="O94" s="40">
        <v>17.444662885368299</v>
      </c>
      <c r="P94" s="39">
        <v>10</v>
      </c>
      <c r="Q94" s="39">
        <v>6.9778651541473398</v>
      </c>
      <c r="R94" s="39">
        <v>174.44662885368299</v>
      </c>
    </row>
    <row r="95" spans="1:18" hidden="1" x14ac:dyDescent="0.25">
      <c r="A95" s="37" t="s">
        <v>100</v>
      </c>
      <c r="B95" s="32">
        <v>24.999999999999901</v>
      </c>
      <c r="C95" s="38" t="s">
        <v>39</v>
      </c>
      <c r="D95" s="38" t="s">
        <v>56</v>
      </c>
      <c r="E95" s="32">
        <v>0</v>
      </c>
      <c r="F95" s="32">
        <v>0</v>
      </c>
      <c r="G95" s="32">
        <v>24.999999999999901</v>
      </c>
      <c r="H95" s="32">
        <v>0</v>
      </c>
      <c r="I95" s="32">
        <v>24.999999999999901</v>
      </c>
      <c r="J95" s="39">
        <v>0</v>
      </c>
      <c r="K95" s="39">
        <v>0</v>
      </c>
      <c r="L95" s="39">
        <v>0</v>
      </c>
      <c r="M95" s="40">
        <v>2.4815230462959001</v>
      </c>
      <c r="N95" s="39">
        <v>0</v>
      </c>
      <c r="O95" s="40">
        <v>18.447966365391299</v>
      </c>
      <c r="P95" s="39">
        <v>10</v>
      </c>
      <c r="Q95" s="39">
        <v>7.37918654615655</v>
      </c>
      <c r="R95" s="39">
        <v>184.47966365391301</v>
      </c>
    </row>
    <row r="96" spans="1:18" hidden="1" x14ac:dyDescent="0.25">
      <c r="A96" s="37" t="s">
        <v>101</v>
      </c>
      <c r="B96" s="32">
        <v>24.999999999999901</v>
      </c>
      <c r="C96" s="38" t="s">
        <v>39</v>
      </c>
      <c r="D96" s="38" t="s">
        <v>56</v>
      </c>
      <c r="E96" s="32">
        <v>0</v>
      </c>
      <c r="F96" s="32">
        <v>0</v>
      </c>
      <c r="G96" s="32">
        <v>24.999999999999901</v>
      </c>
      <c r="H96" s="32">
        <v>0</v>
      </c>
      <c r="I96" s="32">
        <v>24.999999999999901</v>
      </c>
      <c r="J96" s="39">
        <v>0</v>
      </c>
      <c r="K96" s="39">
        <v>0</v>
      </c>
      <c r="L96" s="39">
        <v>0</v>
      </c>
      <c r="M96" s="40">
        <v>2.4815230462959001</v>
      </c>
      <c r="N96" s="39">
        <v>0</v>
      </c>
      <c r="O96" s="40">
        <v>18.623676713810401</v>
      </c>
      <c r="P96" s="39">
        <v>10</v>
      </c>
      <c r="Q96" s="39">
        <v>7.4494706855241697</v>
      </c>
      <c r="R96" s="39">
        <v>186.236767138104</v>
      </c>
    </row>
    <row r="97" spans="1:18" hidden="1" x14ac:dyDescent="0.25">
      <c r="A97" s="37" t="s">
        <v>102</v>
      </c>
      <c r="B97" s="32">
        <v>24.999999999999901</v>
      </c>
      <c r="C97" s="38" t="s">
        <v>39</v>
      </c>
      <c r="D97" s="38" t="s">
        <v>56</v>
      </c>
      <c r="E97" s="32">
        <v>0</v>
      </c>
      <c r="F97" s="32">
        <v>0</v>
      </c>
      <c r="G97" s="32">
        <v>24.999999999999901</v>
      </c>
      <c r="H97" s="32">
        <v>0</v>
      </c>
      <c r="I97" s="32">
        <v>24.999999999999901</v>
      </c>
      <c r="J97" s="39">
        <v>0</v>
      </c>
      <c r="K97" s="39">
        <v>0</v>
      </c>
      <c r="L97" s="39">
        <v>0</v>
      </c>
      <c r="M97" s="40">
        <v>2.4815230462959001</v>
      </c>
      <c r="N97" s="39">
        <v>0</v>
      </c>
      <c r="O97" s="40">
        <v>18.732512380635299</v>
      </c>
      <c r="P97" s="39">
        <v>10</v>
      </c>
      <c r="Q97" s="39">
        <v>7.4930049522541404</v>
      </c>
      <c r="R97" s="39">
        <v>187.32512380635299</v>
      </c>
    </row>
    <row r="98" spans="1:18" hidden="1" x14ac:dyDescent="0.25">
      <c r="A98" s="37" t="s">
        <v>103</v>
      </c>
      <c r="B98" s="32">
        <v>24.999999999999901</v>
      </c>
      <c r="C98" s="38" t="s">
        <v>39</v>
      </c>
      <c r="D98" s="38" t="s">
        <v>56</v>
      </c>
      <c r="E98" s="32">
        <v>0</v>
      </c>
      <c r="F98" s="32">
        <v>0</v>
      </c>
      <c r="G98" s="32">
        <v>24.999999999999901</v>
      </c>
      <c r="H98" s="32">
        <v>0</v>
      </c>
      <c r="I98" s="32">
        <v>24.999999999999901</v>
      </c>
      <c r="J98" s="39">
        <v>0</v>
      </c>
      <c r="K98" s="39">
        <v>0</v>
      </c>
      <c r="L98" s="39">
        <v>0</v>
      </c>
      <c r="M98" s="40">
        <v>2.4815230462959001</v>
      </c>
      <c r="N98" s="39">
        <v>0</v>
      </c>
      <c r="O98" s="40">
        <v>15.446000348396201</v>
      </c>
      <c r="P98" s="39">
        <v>10</v>
      </c>
      <c r="Q98" s="39">
        <v>6.1784001393584997</v>
      </c>
      <c r="R98" s="39">
        <v>154.460003483962</v>
      </c>
    </row>
    <row r="99" spans="1:18" hidden="1" x14ac:dyDescent="0.25">
      <c r="A99" s="37" t="s">
        <v>104</v>
      </c>
      <c r="B99" s="32">
        <v>4.2051735777153096</v>
      </c>
      <c r="C99" s="38" t="s">
        <v>39</v>
      </c>
      <c r="D99" s="38" t="s">
        <v>56</v>
      </c>
      <c r="E99" s="32">
        <v>0</v>
      </c>
      <c r="F99" s="32">
        <v>2.66015763044896</v>
      </c>
      <c r="G99" s="32">
        <v>1.5450159472663501</v>
      </c>
      <c r="H99" s="32">
        <v>0</v>
      </c>
      <c r="I99" s="32">
        <v>4.2051735777153096</v>
      </c>
      <c r="J99" s="39">
        <v>0</v>
      </c>
      <c r="K99" s="39">
        <v>0</v>
      </c>
      <c r="L99" s="39">
        <v>0</v>
      </c>
      <c r="M99" s="40">
        <v>0.417409405871007</v>
      </c>
      <c r="N99" s="39">
        <v>0</v>
      </c>
      <c r="O99" s="40">
        <v>1.69017947227204</v>
      </c>
      <c r="P99" s="39">
        <v>10</v>
      </c>
      <c r="Q99" s="39">
        <v>4.0192858654607999</v>
      </c>
      <c r="R99" s="39">
        <v>16.9017947227204</v>
      </c>
    </row>
    <row r="100" spans="1:18" hidden="1" x14ac:dyDescent="0.25">
      <c r="A100" s="37" t="s">
        <v>105</v>
      </c>
      <c r="B100" s="32">
        <v>2.4999999999999698</v>
      </c>
      <c r="C100" s="38" t="s">
        <v>39</v>
      </c>
      <c r="D100" s="38" t="s">
        <v>56</v>
      </c>
      <c r="E100" s="32">
        <v>0</v>
      </c>
      <c r="F100" s="32">
        <v>2.4999999999999698</v>
      </c>
      <c r="G100" s="32">
        <v>0</v>
      </c>
      <c r="H100" s="32">
        <v>0</v>
      </c>
      <c r="I100" s="32">
        <v>2.4999999999999698</v>
      </c>
      <c r="J100" s="39">
        <v>0</v>
      </c>
      <c r="K100" s="39">
        <v>0</v>
      </c>
      <c r="L100" s="39">
        <v>0</v>
      </c>
      <c r="M100" s="40">
        <v>0.40324489722215501</v>
      </c>
      <c r="N100" s="39">
        <v>0</v>
      </c>
      <c r="O100" s="40">
        <v>1.6323150884161399</v>
      </c>
      <c r="P100" s="39">
        <v>10</v>
      </c>
      <c r="Q100" s="39">
        <v>6.5292603536646396</v>
      </c>
      <c r="R100" s="39">
        <v>16.3231508841614</v>
      </c>
    </row>
    <row r="101" spans="1:18" hidden="1" x14ac:dyDescent="0.25">
      <c r="A101" s="37" t="s">
        <v>106</v>
      </c>
      <c r="B101" s="32">
        <v>4.4999999999999503</v>
      </c>
      <c r="C101" s="38" t="s">
        <v>39</v>
      </c>
      <c r="D101" s="38" t="s">
        <v>56</v>
      </c>
      <c r="E101" s="32">
        <v>0</v>
      </c>
      <c r="F101" s="32">
        <v>4.4999999999999503</v>
      </c>
      <c r="G101" s="32">
        <v>0</v>
      </c>
      <c r="H101" s="32">
        <v>0</v>
      </c>
      <c r="I101" s="32">
        <v>4.4999999999999503</v>
      </c>
      <c r="J101" s="39">
        <v>0</v>
      </c>
      <c r="K101" s="39">
        <v>0</v>
      </c>
      <c r="L101" s="39">
        <v>0</v>
      </c>
      <c r="M101" s="40">
        <v>1.0050074816665</v>
      </c>
      <c r="N101" s="39">
        <v>0</v>
      </c>
      <c r="O101" s="40">
        <v>4.30112274376238</v>
      </c>
      <c r="P101" s="39">
        <v>10</v>
      </c>
      <c r="Q101" s="39">
        <v>9.5580505416942696</v>
      </c>
      <c r="R101" s="39">
        <v>43.011227437623802</v>
      </c>
    </row>
    <row r="102" spans="1:18" hidden="1" x14ac:dyDescent="0.25">
      <c r="A102" s="37" t="s">
        <v>107</v>
      </c>
      <c r="B102" s="32">
        <v>0</v>
      </c>
      <c r="C102" s="38" t="s">
        <v>39</v>
      </c>
      <c r="D102" s="38" t="s">
        <v>56</v>
      </c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</row>
    <row r="103" spans="1:18" x14ac:dyDescent="0.25">
      <c r="A103" s="42" t="s">
        <v>37</v>
      </c>
      <c r="B103" s="43">
        <v>786.20517357771303</v>
      </c>
      <c r="C103" s="44" t="s">
        <v>108</v>
      </c>
      <c r="D103" s="44" t="s">
        <v>56</v>
      </c>
      <c r="E103" s="45">
        <f>SUM(E51:E101)</f>
        <v>0</v>
      </c>
      <c r="F103" s="45">
        <f>SUM(F51:F101)</f>
        <v>45.762827854920559</v>
      </c>
      <c r="G103" s="45">
        <f>SUM(G51:G101)</f>
        <v>740.44234572279152</v>
      </c>
      <c r="H103" s="45">
        <f>SUM(H51:H101)</f>
        <v>0</v>
      </c>
      <c r="I103" s="45">
        <f>SUM(I51:I101)</f>
        <v>786.20517357771212</v>
      </c>
      <c r="J103" s="46">
        <v>0</v>
      </c>
      <c r="K103" s="46">
        <v>0</v>
      </c>
      <c r="L103" s="44" t="s">
        <v>108</v>
      </c>
      <c r="M103" s="47">
        <f>SUM(M51:M101)</f>
        <v>84.062616011901</v>
      </c>
      <c r="N103" s="48">
        <f>(N51)</f>
        <v>0</v>
      </c>
      <c r="O103" s="47">
        <f>SUM(O51:O101)</f>
        <v>505.37901116007924</v>
      </c>
      <c r="P103" s="48">
        <f>(P51)</f>
        <v>10</v>
      </c>
      <c r="Q103" s="48">
        <f>(R103/B103)</f>
        <v>6.4280804571699335</v>
      </c>
      <c r="R103" s="48">
        <f>SUM(R51:R101)</f>
        <v>5053.7901116007924</v>
      </c>
    </row>
    <row r="105" spans="1:18" x14ac:dyDescent="0.25">
      <c r="A105" s="21" t="s">
        <v>1</v>
      </c>
      <c r="B105" s="27" t="s">
        <v>1</v>
      </c>
      <c r="C105" s="27" t="s">
        <v>1</v>
      </c>
      <c r="D105" s="27" t="s">
        <v>1</v>
      </c>
      <c r="E105" s="27" t="s">
        <v>1</v>
      </c>
      <c r="F105" s="27" t="s">
        <v>1</v>
      </c>
      <c r="G105" s="27" t="s">
        <v>1</v>
      </c>
      <c r="H105" s="27" t="s">
        <v>1</v>
      </c>
      <c r="I105" s="27" t="s">
        <v>1</v>
      </c>
      <c r="J105" s="27" t="s">
        <v>1</v>
      </c>
      <c r="K105" s="27" t="s">
        <v>1</v>
      </c>
      <c r="L105" s="27" t="s">
        <v>1</v>
      </c>
      <c r="M105" s="27" t="s">
        <v>1</v>
      </c>
      <c r="N105" s="27" t="s">
        <v>1</v>
      </c>
      <c r="O105" s="27" t="s">
        <v>1</v>
      </c>
      <c r="P105" s="27" t="s">
        <v>1</v>
      </c>
      <c r="Q105" s="27" t="s">
        <v>1</v>
      </c>
      <c r="R105" s="26" t="s">
        <v>1</v>
      </c>
    </row>
    <row r="106" spans="1:18" x14ac:dyDescent="0.25">
      <c r="A106" s="24" t="s">
        <v>109</v>
      </c>
      <c r="B106" s="20" t="s">
        <v>109</v>
      </c>
      <c r="C106" s="20" t="s">
        <v>109</v>
      </c>
      <c r="D106" s="20" t="s">
        <v>109</v>
      </c>
      <c r="E106" s="20" t="s">
        <v>109</v>
      </c>
      <c r="F106" s="20" t="s">
        <v>109</v>
      </c>
      <c r="G106" s="20" t="s">
        <v>109</v>
      </c>
      <c r="H106" s="20" t="s">
        <v>109</v>
      </c>
      <c r="I106" s="20" t="s">
        <v>109</v>
      </c>
      <c r="J106" s="20" t="s">
        <v>109</v>
      </c>
      <c r="K106" s="20" t="s">
        <v>109</v>
      </c>
      <c r="L106" s="20" t="s">
        <v>109</v>
      </c>
      <c r="M106" s="20" t="s">
        <v>109</v>
      </c>
      <c r="N106" s="20" t="s">
        <v>109</v>
      </c>
      <c r="O106" s="20" t="s">
        <v>109</v>
      </c>
      <c r="P106" s="20" t="s">
        <v>109</v>
      </c>
      <c r="Q106" s="20" t="s">
        <v>109</v>
      </c>
      <c r="R106" s="23" t="s">
        <v>109</v>
      </c>
    </row>
    <row r="107" spans="1:18" x14ac:dyDescent="0.25">
      <c r="A107" s="19" t="s">
        <v>14</v>
      </c>
      <c r="B107" s="19" t="s">
        <v>15</v>
      </c>
      <c r="C107" s="19" t="s">
        <v>4</v>
      </c>
      <c r="D107" s="17" t="s">
        <v>16</v>
      </c>
      <c r="E107" s="15" t="s">
        <v>17</v>
      </c>
      <c r="F107" s="15" t="s">
        <v>17</v>
      </c>
      <c r="G107" s="15" t="s">
        <v>17</v>
      </c>
      <c r="H107" s="15" t="s">
        <v>17</v>
      </c>
      <c r="I107" s="15" t="s">
        <v>17</v>
      </c>
      <c r="J107" s="15" t="s">
        <v>18</v>
      </c>
      <c r="K107" s="15" t="s">
        <v>18</v>
      </c>
      <c r="L107" s="17" t="s">
        <v>18</v>
      </c>
      <c r="M107" s="14" t="s">
        <v>19</v>
      </c>
      <c r="N107" s="15" t="s">
        <v>19</v>
      </c>
      <c r="O107" s="14" t="s">
        <v>20</v>
      </c>
      <c r="P107" s="15" t="s">
        <v>20</v>
      </c>
      <c r="Q107" s="17" t="s">
        <v>21</v>
      </c>
      <c r="R107" s="17" t="s">
        <v>22</v>
      </c>
    </row>
    <row r="108" spans="1:18" x14ac:dyDescent="0.25">
      <c r="A108" s="18" t="s">
        <v>14</v>
      </c>
      <c r="B108" s="18" t="s">
        <v>15</v>
      </c>
      <c r="C108" s="18" t="s">
        <v>4</v>
      </c>
      <c r="D108" s="16" t="s">
        <v>16</v>
      </c>
      <c r="E108" s="35" t="s">
        <v>23</v>
      </c>
      <c r="F108" s="35" t="s">
        <v>24</v>
      </c>
      <c r="G108" s="35" t="s">
        <v>25</v>
      </c>
      <c r="H108" s="35" t="s">
        <v>26</v>
      </c>
      <c r="I108" s="36" t="s">
        <v>11</v>
      </c>
      <c r="J108" s="35" t="s">
        <v>24</v>
      </c>
      <c r="K108" s="35" t="s">
        <v>25</v>
      </c>
      <c r="L108" s="16" t="s">
        <v>18</v>
      </c>
      <c r="M108" s="35" t="s">
        <v>27</v>
      </c>
      <c r="N108" s="35" t="s">
        <v>28</v>
      </c>
      <c r="O108" s="35" t="s">
        <v>27</v>
      </c>
      <c r="P108" s="35" t="s">
        <v>28</v>
      </c>
      <c r="Q108" s="16" t="s">
        <v>21</v>
      </c>
      <c r="R108" s="16" t="s">
        <v>22</v>
      </c>
    </row>
    <row r="109" spans="1:18" hidden="1" x14ac:dyDescent="0.25">
      <c r="A109" s="37" t="s">
        <v>110</v>
      </c>
      <c r="B109" s="32">
        <v>4.9999939999999796</v>
      </c>
      <c r="C109" s="38" t="s">
        <v>55</v>
      </c>
      <c r="D109" s="38" t="s">
        <v>111</v>
      </c>
      <c r="E109" s="32">
        <v>0</v>
      </c>
      <c r="F109" s="32">
        <v>0</v>
      </c>
      <c r="G109" s="32">
        <v>4.9999939999999796</v>
      </c>
      <c r="H109" s="32">
        <v>0</v>
      </c>
      <c r="I109" s="32">
        <v>4.9999939999999796</v>
      </c>
      <c r="J109" s="39">
        <v>0</v>
      </c>
      <c r="K109" s="39">
        <v>0</v>
      </c>
      <c r="L109" s="39">
        <v>0</v>
      </c>
      <c r="M109" s="40">
        <v>1.2407460759175399</v>
      </c>
      <c r="N109" s="39">
        <v>0</v>
      </c>
      <c r="O109" s="40">
        <v>11.0361567846039</v>
      </c>
      <c r="P109" s="39">
        <v>10</v>
      </c>
      <c r="Q109" s="39">
        <v>22.0723400560159</v>
      </c>
      <c r="R109" s="39">
        <v>110.36156784603899</v>
      </c>
    </row>
    <row r="110" spans="1:18" hidden="1" x14ac:dyDescent="0.25">
      <c r="A110" s="37" t="s">
        <v>112</v>
      </c>
      <c r="B110" s="32">
        <v>2.999994</v>
      </c>
      <c r="C110" s="38" t="s">
        <v>55</v>
      </c>
      <c r="D110" s="38" t="s">
        <v>111</v>
      </c>
      <c r="E110" s="32">
        <v>0</v>
      </c>
      <c r="F110" s="32">
        <v>0</v>
      </c>
      <c r="G110" s="32">
        <v>2.999994</v>
      </c>
      <c r="H110" s="32">
        <v>0</v>
      </c>
      <c r="I110" s="32">
        <v>2.999994</v>
      </c>
      <c r="J110" s="39">
        <v>0</v>
      </c>
      <c r="K110" s="39">
        <v>0</v>
      </c>
      <c r="L110" s="39">
        <v>0</v>
      </c>
      <c r="M110" s="40">
        <v>0.52111459331043297</v>
      </c>
      <c r="N110" s="39">
        <v>0</v>
      </c>
      <c r="O110" s="40">
        <v>3.9351477213063499</v>
      </c>
      <c r="P110" s="39">
        <v>10</v>
      </c>
      <c r="Q110" s="39">
        <v>13.1171853053918</v>
      </c>
      <c r="R110" s="39">
        <v>39.351477213063497</v>
      </c>
    </row>
    <row r="111" spans="1:18" hidden="1" x14ac:dyDescent="0.25">
      <c r="A111" s="37" t="s">
        <v>113</v>
      </c>
      <c r="B111" s="32">
        <v>12.5982869565964</v>
      </c>
      <c r="C111" s="38" t="s">
        <v>55</v>
      </c>
      <c r="D111" s="38" t="s">
        <v>111</v>
      </c>
      <c r="E111" s="32">
        <v>0</v>
      </c>
      <c r="F111" s="32">
        <v>0</v>
      </c>
      <c r="G111" s="32">
        <v>12.5982869565964</v>
      </c>
      <c r="H111" s="32">
        <v>0</v>
      </c>
      <c r="I111" s="32">
        <v>12.5982869565964</v>
      </c>
      <c r="J111" s="39">
        <v>0</v>
      </c>
      <c r="K111" s="39">
        <v>0</v>
      </c>
      <c r="L111" s="39">
        <v>0</v>
      </c>
      <c r="M111" s="40">
        <v>1.2505167485306701</v>
      </c>
      <c r="N111" s="39">
        <v>0</v>
      </c>
      <c r="O111" s="40">
        <v>5.0288829087959197</v>
      </c>
      <c r="P111" s="39">
        <v>10</v>
      </c>
      <c r="Q111" s="39">
        <v>3.9917196092781801</v>
      </c>
      <c r="R111" s="39">
        <v>50.288829087959201</v>
      </c>
    </row>
    <row r="112" spans="1:18" hidden="1" x14ac:dyDescent="0.25">
      <c r="A112" s="37" t="s">
        <v>114</v>
      </c>
      <c r="B112" s="32">
        <v>2.999994</v>
      </c>
      <c r="C112" s="38" t="s">
        <v>55</v>
      </c>
      <c r="D112" s="38" t="s">
        <v>111</v>
      </c>
      <c r="E112" s="32">
        <v>0</v>
      </c>
      <c r="F112" s="32">
        <v>0</v>
      </c>
      <c r="G112" s="32">
        <v>2.999994</v>
      </c>
      <c r="H112" s="32">
        <v>0</v>
      </c>
      <c r="I112" s="32">
        <v>2.999994</v>
      </c>
      <c r="J112" s="39">
        <v>0</v>
      </c>
      <c r="K112" s="39">
        <v>0</v>
      </c>
      <c r="L112" s="39">
        <v>0</v>
      </c>
      <c r="M112" s="40">
        <v>0.52111442937456198</v>
      </c>
      <c r="N112" s="39">
        <v>0</v>
      </c>
      <c r="O112" s="40">
        <v>3.06904805994452</v>
      </c>
      <c r="P112" s="39">
        <v>10</v>
      </c>
      <c r="Q112" s="39">
        <v>10.2301806601764</v>
      </c>
      <c r="R112" s="39">
        <v>30.690480599445198</v>
      </c>
    </row>
    <row r="113" spans="1:18" hidden="1" x14ac:dyDescent="0.25">
      <c r="A113" s="37" t="s">
        <v>115</v>
      </c>
      <c r="B113" s="32">
        <v>1.4017310434035599</v>
      </c>
      <c r="C113" s="38" t="s">
        <v>55</v>
      </c>
      <c r="D113" s="38" t="s">
        <v>111</v>
      </c>
      <c r="E113" s="32">
        <v>0</v>
      </c>
      <c r="F113" s="32">
        <v>0</v>
      </c>
      <c r="G113" s="32">
        <v>1.4017310434035599</v>
      </c>
      <c r="H113" s="32">
        <v>0</v>
      </c>
      <c r="I113" s="32">
        <v>1.4017310434035599</v>
      </c>
      <c r="J113" s="39">
        <v>0</v>
      </c>
      <c r="K113" s="39">
        <v>0</v>
      </c>
      <c r="L113" s="39">
        <v>0</v>
      </c>
      <c r="M113" s="40">
        <v>0.34783887572560501</v>
      </c>
      <c r="N113" s="39">
        <v>0</v>
      </c>
      <c r="O113" s="40">
        <v>2.3356095108494701</v>
      </c>
      <c r="P113" s="39">
        <v>10</v>
      </c>
      <c r="Q113" s="39">
        <v>16.662322788959202</v>
      </c>
      <c r="R113" s="39">
        <v>23.356095108494699</v>
      </c>
    </row>
    <row r="114" spans="1:18" hidden="1" x14ac:dyDescent="0.25">
      <c r="A114" s="37" t="s">
        <v>116</v>
      </c>
      <c r="B114" s="32">
        <v>3.5982629565964199</v>
      </c>
      <c r="C114" s="38" t="s">
        <v>55</v>
      </c>
      <c r="D114" s="38" t="s">
        <v>111</v>
      </c>
      <c r="E114" s="32">
        <v>0</v>
      </c>
      <c r="F114" s="32">
        <v>0</v>
      </c>
      <c r="G114" s="32">
        <v>3.5982629565964199</v>
      </c>
      <c r="H114" s="32">
        <v>0</v>
      </c>
      <c r="I114" s="32">
        <v>3.5982629565964199</v>
      </c>
      <c r="J114" s="39">
        <v>0</v>
      </c>
      <c r="K114" s="39">
        <v>0</v>
      </c>
      <c r="L114" s="39">
        <v>0</v>
      </c>
      <c r="M114" s="40">
        <v>0.89291025688541203</v>
      </c>
      <c r="N114" s="39">
        <v>0</v>
      </c>
      <c r="O114" s="40">
        <v>6.07959766345083</v>
      </c>
      <c r="P114" s="39">
        <v>10</v>
      </c>
      <c r="Q114" s="39">
        <v>16.895923774291099</v>
      </c>
      <c r="R114" s="39">
        <v>60.7959766345083</v>
      </c>
    </row>
    <row r="115" spans="1:18" hidden="1" x14ac:dyDescent="0.25">
      <c r="A115" s="37" t="s">
        <v>117</v>
      </c>
      <c r="B115" s="32">
        <v>4.9999939999999796</v>
      </c>
      <c r="C115" s="38" t="s">
        <v>118</v>
      </c>
      <c r="D115" s="38" t="s">
        <v>111</v>
      </c>
      <c r="E115" s="32">
        <v>0</v>
      </c>
      <c r="F115" s="32">
        <v>0</v>
      </c>
      <c r="G115" s="32">
        <v>4.9999939999999796</v>
      </c>
      <c r="H115" s="32">
        <v>0</v>
      </c>
      <c r="I115" s="32">
        <v>4.9999939999999796</v>
      </c>
      <c r="J115" s="39">
        <v>0</v>
      </c>
      <c r="K115" s="39">
        <v>0</v>
      </c>
      <c r="L115" s="39">
        <v>0</v>
      </c>
      <c r="M115" s="40">
        <v>1.2407503233695001</v>
      </c>
      <c r="N115" s="39">
        <v>0</v>
      </c>
      <c r="O115" s="40">
        <v>9.0277530761265492</v>
      </c>
      <c r="P115" s="39">
        <v>10</v>
      </c>
      <c r="Q115" s="39">
        <v>18.055527818886599</v>
      </c>
      <c r="R115" s="39">
        <v>90.277530761265496</v>
      </c>
    </row>
    <row r="116" spans="1:18" hidden="1" x14ac:dyDescent="0.25">
      <c r="A116" s="37" t="s">
        <v>119</v>
      </c>
      <c r="B116" s="32">
        <v>2.999994</v>
      </c>
      <c r="C116" s="38" t="s">
        <v>118</v>
      </c>
      <c r="D116" s="38" t="s">
        <v>111</v>
      </c>
      <c r="E116" s="32">
        <v>0</v>
      </c>
      <c r="F116" s="32">
        <v>0</v>
      </c>
      <c r="G116" s="32">
        <v>2.999994</v>
      </c>
      <c r="H116" s="32">
        <v>0</v>
      </c>
      <c r="I116" s="32">
        <v>2.999994</v>
      </c>
      <c r="J116" s="39">
        <v>0</v>
      </c>
      <c r="K116" s="39">
        <v>0</v>
      </c>
      <c r="L116" s="39">
        <v>0</v>
      </c>
      <c r="M116" s="40">
        <v>0.52111460999083703</v>
      </c>
      <c r="N116" s="39">
        <v>0</v>
      </c>
      <c r="O116" s="40">
        <v>3.67163064531641</v>
      </c>
      <c r="P116" s="39">
        <v>10</v>
      </c>
      <c r="Q116" s="39">
        <v>12.2387932953079</v>
      </c>
      <c r="R116" s="39">
        <v>36.716306453164101</v>
      </c>
    </row>
    <row r="117" spans="1:18" hidden="1" x14ac:dyDescent="0.25">
      <c r="A117" s="37" t="s">
        <v>120</v>
      </c>
      <c r="B117" s="32">
        <v>13.4017490434035</v>
      </c>
      <c r="C117" s="38" t="s">
        <v>118</v>
      </c>
      <c r="D117" s="38" t="s">
        <v>111</v>
      </c>
      <c r="E117" s="32">
        <v>0</v>
      </c>
      <c r="F117" s="32">
        <v>0</v>
      </c>
      <c r="G117" s="32">
        <v>13.4017490434035</v>
      </c>
      <c r="H117" s="32">
        <v>0</v>
      </c>
      <c r="I117" s="32">
        <v>13.4017490434035</v>
      </c>
      <c r="J117" s="39">
        <v>0</v>
      </c>
      <c r="K117" s="39">
        <v>0</v>
      </c>
      <c r="L117" s="39">
        <v>0</v>
      </c>
      <c r="M117" s="40">
        <v>1.3302699644752001</v>
      </c>
      <c r="N117" s="39">
        <v>0</v>
      </c>
      <c r="O117" s="40">
        <v>7.3617072823003697</v>
      </c>
      <c r="P117" s="39">
        <v>10</v>
      </c>
      <c r="Q117" s="39">
        <v>5.49309441510837</v>
      </c>
      <c r="R117" s="39">
        <v>73.617072823003696</v>
      </c>
    </row>
    <row r="118" spans="1:18" hidden="1" x14ac:dyDescent="0.25">
      <c r="A118" s="37" t="s">
        <v>121</v>
      </c>
      <c r="B118" s="32">
        <v>24.999999999999901</v>
      </c>
      <c r="C118" s="38" t="s">
        <v>118</v>
      </c>
      <c r="D118" s="38" t="s">
        <v>111</v>
      </c>
      <c r="E118" s="32">
        <v>0</v>
      </c>
      <c r="F118" s="32">
        <v>0</v>
      </c>
      <c r="G118" s="32">
        <v>24.999999999999901</v>
      </c>
      <c r="H118" s="32">
        <v>0</v>
      </c>
      <c r="I118" s="32">
        <v>24.999999999999901</v>
      </c>
      <c r="J118" s="39">
        <v>0</v>
      </c>
      <c r="K118" s="39">
        <v>0</v>
      </c>
      <c r="L118" s="39">
        <v>0</v>
      </c>
      <c r="M118" s="40">
        <v>2.4815230462959001</v>
      </c>
      <c r="N118" s="39">
        <v>0</v>
      </c>
      <c r="O118" s="40">
        <v>13.7686842996232</v>
      </c>
      <c r="P118" s="39">
        <v>10</v>
      </c>
      <c r="Q118" s="39">
        <v>5.5074737198492896</v>
      </c>
      <c r="R118" s="39">
        <v>137.686842996232</v>
      </c>
    </row>
    <row r="119" spans="1:18" hidden="1" x14ac:dyDescent="0.25">
      <c r="A119" s="37" t="s">
        <v>122</v>
      </c>
      <c r="B119" s="32">
        <v>13.843768245452701</v>
      </c>
      <c r="C119" s="38" t="s">
        <v>118</v>
      </c>
      <c r="D119" s="38" t="s">
        <v>111</v>
      </c>
      <c r="E119" s="32">
        <v>0</v>
      </c>
      <c r="F119" s="32">
        <v>0</v>
      </c>
      <c r="G119" s="32">
        <v>13.843768245452701</v>
      </c>
      <c r="H119" s="32">
        <v>0</v>
      </c>
      <c r="I119" s="32">
        <v>13.843768245452701</v>
      </c>
      <c r="J119" s="39">
        <v>0</v>
      </c>
      <c r="K119" s="39">
        <v>0</v>
      </c>
      <c r="L119" s="39">
        <v>0</v>
      </c>
      <c r="M119" s="40">
        <v>1.37414519794681</v>
      </c>
      <c r="N119" s="39">
        <v>0</v>
      </c>
      <c r="O119" s="40">
        <v>7.52415458877313</v>
      </c>
      <c r="P119" s="39">
        <v>10</v>
      </c>
      <c r="Q119" s="39">
        <v>5.4350480702713497</v>
      </c>
      <c r="R119" s="39">
        <v>75.241545887731306</v>
      </c>
    </row>
    <row r="120" spans="1:18" hidden="1" x14ac:dyDescent="0.25">
      <c r="A120" s="37" t="s">
        <v>123</v>
      </c>
      <c r="B120" s="32">
        <v>0.541666666666754</v>
      </c>
      <c r="C120" s="38" t="s">
        <v>118</v>
      </c>
      <c r="D120" s="38" t="s">
        <v>111</v>
      </c>
      <c r="E120" s="32">
        <v>0</v>
      </c>
      <c r="F120" s="32">
        <v>0</v>
      </c>
      <c r="G120" s="32">
        <v>0.541666666666754</v>
      </c>
      <c r="H120" s="32">
        <v>0</v>
      </c>
      <c r="I120" s="32">
        <v>0.541666666666754</v>
      </c>
      <c r="J120" s="39">
        <v>0</v>
      </c>
      <c r="K120" s="39">
        <v>0</v>
      </c>
      <c r="L120" s="39">
        <v>0</v>
      </c>
      <c r="M120" s="40">
        <v>6.1047068266461203E-2</v>
      </c>
      <c r="N120" s="39">
        <v>0</v>
      </c>
      <c r="O120" s="40">
        <v>0.378138888566321</v>
      </c>
      <c r="P120" s="39">
        <v>10</v>
      </c>
      <c r="Q120" s="39">
        <v>6.9810256350694102</v>
      </c>
      <c r="R120" s="39">
        <v>3.7813888856632101</v>
      </c>
    </row>
    <row r="121" spans="1:18" hidden="1" x14ac:dyDescent="0.25">
      <c r="A121" s="37" t="s">
        <v>124</v>
      </c>
      <c r="B121" s="32">
        <v>2.54166666666673</v>
      </c>
      <c r="C121" s="38" t="s">
        <v>118</v>
      </c>
      <c r="D121" s="38" t="s">
        <v>111</v>
      </c>
      <c r="E121" s="32">
        <v>0</v>
      </c>
      <c r="F121" s="32">
        <v>0</v>
      </c>
      <c r="G121" s="32">
        <v>2.54166666666673</v>
      </c>
      <c r="H121" s="32">
        <v>0</v>
      </c>
      <c r="I121" s="32">
        <v>2.54166666666673</v>
      </c>
      <c r="J121" s="39">
        <v>0</v>
      </c>
      <c r="K121" s="39">
        <v>0</v>
      </c>
      <c r="L121" s="39">
        <v>0</v>
      </c>
      <c r="M121" s="40">
        <v>0.320615081031701</v>
      </c>
      <c r="N121" s="39">
        <v>0</v>
      </c>
      <c r="O121" s="40">
        <v>2.1864945521066699</v>
      </c>
      <c r="P121" s="39">
        <v>10</v>
      </c>
      <c r="Q121" s="39">
        <v>8.60260151648502</v>
      </c>
      <c r="R121" s="39">
        <v>21.864945521066701</v>
      </c>
    </row>
    <row r="122" spans="1:18" hidden="1" x14ac:dyDescent="0.25">
      <c r="A122" s="37" t="s">
        <v>125</v>
      </c>
      <c r="B122" s="32">
        <v>2.54166666666673</v>
      </c>
      <c r="C122" s="38" t="s">
        <v>118</v>
      </c>
      <c r="D122" s="38" t="s">
        <v>111</v>
      </c>
      <c r="E122" s="32">
        <v>0</v>
      </c>
      <c r="F122" s="32">
        <v>0</v>
      </c>
      <c r="G122" s="32">
        <v>2.54166666666673</v>
      </c>
      <c r="H122" s="32">
        <v>0</v>
      </c>
      <c r="I122" s="32">
        <v>2.54166666666673</v>
      </c>
      <c r="J122" s="39">
        <v>0</v>
      </c>
      <c r="K122" s="39">
        <v>0</v>
      </c>
      <c r="L122" s="39">
        <v>0</v>
      </c>
      <c r="M122" s="40">
        <v>0.320615081031701</v>
      </c>
      <c r="N122" s="39">
        <v>0</v>
      </c>
      <c r="O122" s="40">
        <v>2.23786302160884</v>
      </c>
      <c r="P122" s="39">
        <v>10</v>
      </c>
      <c r="Q122" s="39">
        <v>8.8047069702640499</v>
      </c>
      <c r="R122" s="39">
        <v>22.3786302160884</v>
      </c>
    </row>
    <row r="123" spans="1:18" hidden="1" x14ac:dyDescent="0.25">
      <c r="A123" s="37" t="s">
        <v>126</v>
      </c>
      <c r="B123" s="32">
        <v>0.541666666666754</v>
      </c>
      <c r="C123" s="38" t="s">
        <v>118</v>
      </c>
      <c r="D123" s="38" t="s">
        <v>111</v>
      </c>
      <c r="E123" s="32">
        <v>0</v>
      </c>
      <c r="F123" s="32">
        <v>0</v>
      </c>
      <c r="G123" s="32">
        <v>0.541666666666754</v>
      </c>
      <c r="H123" s="32">
        <v>0</v>
      </c>
      <c r="I123" s="32">
        <v>0.541666666666754</v>
      </c>
      <c r="J123" s="39">
        <v>0</v>
      </c>
      <c r="K123" s="39">
        <v>0</v>
      </c>
      <c r="L123" s="39">
        <v>0</v>
      </c>
      <c r="M123" s="40">
        <v>6.1047068266461203E-2</v>
      </c>
      <c r="N123" s="39">
        <v>0</v>
      </c>
      <c r="O123" s="40">
        <v>0.39222308567918701</v>
      </c>
      <c r="P123" s="39">
        <v>10</v>
      </c>
      <c r="Q123" s="39">
        <v>7.2410415817684397</v>
      </c>
      <c r="R123" s="39">
        <v>3.9222308567918698</v>
      </c>
    </row>
    <row r="124" spans="1:18" hidden="1" x14ac:dyDescent="0.25">
      <c r="A124" s="37" t="s">
        <v>127</v>
      </c>
      <c r="B124" s="32">
        <v>4.9895650878802602</v>
      </c>
      <c r="C124" s="38" t="s">
        <v>118</v>
      </c>
      <c r="D124" s="38" t="s">
        <v>111</v>
      </c>
      <c r="E124" s="32">
        <v>0</v>
      </c>
      <c r="F124" s="32">
        <v>0</v>
      </c>
      <c r="G124" s="32">
        <v>4.9895650878802602</v>
      </c>
      <c r="H124" s="32">
        <v>0</v>
      </c>
      <c r="I124" s="32">
        <v>4.9895650878802602</v>
      </c>
      <c r="J124" s="39">
        <v>0</v>
      </c>
      <c r="K124" s="39">
        <v>0</v>
      </c>
      <c r="L124" s="39">
        <v>0</v>
      </c>
      <c r="M124" s="40">
        <v>0.49526883026273399</v>
      </c>
      <c r="N124" s="39">
        <v>0</v>
      </c>
      <c r="O124" s="40">
        <v>2.7691990555978898</v>
      </c>
      <c r="P124" s="39">
        <v>10</v>
      </c>
      <c r="Q124" s="39">
        <v>5.54998082362793</v>
      </c>
      <c r="R124" s="39">
        <v>27.691990555978901</v>
      </c>
    </row>
    <row r="125" spans="1:18" hidden="1" x14ac:dyDescent="0.25">
      <c r="A125" s="37" t="s">
        <v>128</v>
      </c>
      <c r="B125" s="32">
        <v>24.999999999999901</v>
      </c>
      <c r="C125" s="38" t="s">
        <v>118</v>
      </c>
      <c r="D125" s="38" t="s">
        <v>111</v>
      </c>
      <c r="E125" s="32">
        <v>0</v>
      </c>
      <c r="F125" s="32">
        <v>0</v>
      </c>
      <c r="G125" s="32">
        <v>24.999999999999901</v>
      </c>
      <c r="H125" s="32">
        <v>0</v>
      </c>
      <c r="I125" s="32">
        <v>24.999999999999901</v>
      </c>
      <c r="J125" s="39">
        <v>0</v>
      </c>
      <c r="K125" s="39">
        <v>0</v>
      </c>
      <c r="L125" s="39">
        <v>0</v>
      </c>
      <c r="M125" s="40">
        <v>2.4815230462959001</v>
      </c>
      <c r="N125" s="39">
        <v>0</v>
      </c>
      <c r="O125" s="40">
        <v>14.1270108425154</v>
      </c>
      <c r="P125" s="39">
        <v>10</v>
      </c>
      <c r="Q125" s="39">
        <v>5.6508043370061802</v>
      </c>
      <c r="R125" s="39">
        <v>141.27010842515401</v>
      </c>
    </row>
    <row r="126" spans="1:18" hidden="1" x14ac:dyDescent="0.25">
      <c r="A126" s="37" t="s">
        <v>129</v>
      </c>
      <c r="B126" s="32">
        <v>24.999999999999901</v>
      </c>
      <c r="C126" s="38" t="s">
        <v>118</v>
      </c>
      <c r="D126" s="38" t="s">
        <v>111</v>
      </c>
      <c r="E126" s="32">
        <v>0</v>
      </c>
      <c r="F126" s="32">
        <v>0</v>
      </c>
      <c r="G126" s="32">
        <v>24.999999999999901</v>
      </c>
      <c r="H126" s="32">
        <v>0</v>
      </c>
      <c r="I126" s="32">
        <v>24.999999999999901</v>
      </c>
      <c r="J126" s="39">
        <v>0</v>
      </c>
      <c r="K126" s="39">
        <v>0</v>
      </c>
      <c r="L126" s="39">
        <v>0</v>
      </c>
      <c r="M126" s="40">
        <v>2.4815230462959001</v>
      </c>
      <c r="N126" s="39">
        <v>0</v>
      </c>
      <c r="O126" s="40">
        <v>14.615613634037601</v>
      </c>
      <c r="P126" s="39">
        <v>10</v>
      </c>
      <c r="Q126" s="39">
        <v>5.8462454536150599</v>
      </c>
      <c r="R126" s="39">
        <v>146.15613634037601</v>
      </c>
    </row>
    <row r="127" spans="1:18" hidden="1" x14ac:dyDescent="0.25">
      <c r="A127" s="37" t="s">
        <v>130</v>
      </c>
      <c r="B127" s="32">
        <v>24.999999999999901</v>
      </c>
      <c r="C127" s="38" t="s">
        <v>118</v>
      </c>
      <c r="D127" s="38" t="s">
        <v>111</v>
      </c>
      <c r="E127" s="32">
        <v>0</v>
      </c>
      <c r="F127" s="32">
        <v>0</v>
      </c>
      <c r="G127" s="32">
        <v>24.999999999999901</v>
      </c>
      <c r="H127" s="32">
        <v>0</v>
      </c>
      <c r="I127" s="32">
        <v>24.999999999999901</v>
      </c>
      <c r="J127" s="39">
        <v>0</v>
      </c>
      <c r="K127" s="39">
        <v>0</v>
      </c>
      <c r="L127" s="39">
        <v>0</v>
      </c>
      <c r="M127" s="40">
        <v>2.4815230462959001</v>
      </c>
      <c r="N127" s="39">
        <v>0</v>
      </c>
      <c r="O127" s="40">
        <v>15.2202613615344</v>
      </c>
      <c r="P127" s="39">
        <v>10</v>
      </c>
      <c r="Q127" s="39">
        <v>6.08810454461379</v>
      </c>
      <c r="R127" s="39">
        <v>152.20261361534401</v>
      </c>
    </row>
    <row r="128" spans="1:18" hidden="1" x14ac:dyDescent="0.25">
      <c r="A128" s="37" t="s">
        <v>131</v>
      </c>
      <c r="B128" s="32">
        <v>24.999999999999901</v>
      </c>
      <c r="C128" s="38" t="s">
        <v>118</v>
      </c>
      <c r="D128" s="38" t="s">
        <v>111</v>
      </c>
      <c r="E128" s="32">
        <v>0</v>
      </c>
      <c r="F128" s="32">
        <v>0</v>
      </c>
      <c r="G128" s="32">
        <v>24.999999999999901</v>
      </c>
      <c r="H128" s="32">
        <v>0</v>
      </c>
      <c r="I128" s="32">
        <v>24.999999999999901</v>
      </c>
      <c r="J128" s="39">
        <v>0</v>
      </c>
      <c r="K128" s="39">
        <v>0</v>
      </c>
      <c r="L128" s="39">
        <v>0</v>
      </c>
      <c r="M128" s="40">
        <v>2.4815230462959001</v>
      </c>
      <c r="N128" s="39">
        <v>0</v>
      </c>
      <c r="O128" s="40">
        <v>15.8413623754591</v>
      </c>
      <c r="P128" s="39">
        <v>10</v>
      </c>
      <c r="Q128" s="39">
        <v>6.3365449501836597</v>
      </c>
      <c r="R128" s="39">
        <v>158.41362375459099</v>
      </c>
    </row>
    <row r="129" spans="1:18" hidden="1" x14ac:dyDescent="0.25">
      <c r="A129" s="37" t="s">
        <v>132</v>
      </c>
      <c r="B129" s="32">
        <v>24.999999999999901</v>
      </c>
      <c r="C129" s="38" t="s">
        <v>118</v>
      </c>
      <c r="D129" s="38" t="s">
        <v>111</v>
      </c>
      <c r="E129" s="32">
        <v>0</v>
      </c>
      <c r="F129" s="32">
        <v>0</v>
      </c>
      <c r="G129" s="32">
        <v>24.999999999999901</v>
      </c>
      <c r="H129" s="32">
        <v>0</v>
      </c>
      <c r="I129" s="32">
        <v>24.999999999999901</v>
      </c>
      <c r="J129" s="39">
        <v>0</v>
      </c>
      <c r="K129" s="39">
        <v>0</v>
      </c>
      <c r="L129" s="39">
        <v>0</v>
      </c>
      <c r="M129" s="40">
        <v>2.4815230462959001</v>
      </c>
      <c r="N129" s="39">
        <v>0</v>
      </c>
      <c r="O129" s="40">
        <v>16.496885429813201</v>
      </c>
      <c r="P129" s="39">
        <v>10</v>
      </c>
      <c r="Q129" s="39">
        <v>6.5987541719253002</v>
      </c>
      <c r="R129" s="39">
        <v>164.96885429813199</v>
      </c>
    </row>
    <row r="130" spans="1:18" hidden="1" x14ac:dyDescent="0.25">
      <c r="A130" s="37" t="s">
        <v>133</v>
      </c>
      <c r="B130" s="32">
        <v>7.5241222258543203</v>
      </c>
      <c r="C130" s="38" t="s">
        <v>118</v>
      </c>
      <c r="D130" s="38" t="s">
        <v>111</v>
      </c>
      <c r="E130" s="32">
        <v>0</v>
      </c>
      <c r="F130" s="32">
        <v>0</v>
      </c>
      <c r="G130" s="32">
        <v>7.5241222258543203</v>
      </c>
      <c r="H130" s="32">
        <v>0</v>
      </c>
      <c r="I130" s="32">
        <v>7.5241222258543203</v>
      </c>
      <c r="J130" s="39">
        <v>0</v>
      </c>
      <c r="K130" s="39">
        <v>0</v>
      </c>
      <c r="L130" s="39">
        <v>0</v>
      </c>
      <c r="M130" s="40">
        <v>0.74685130826419099</v>
      </c>
      <c r="N130" s="39">
        <v>0</v>
      </c>
      <c r="O130" s="40">
        <v>5.0755122823290098</v>
      </c>
      <c r="P130" s="39">
        <v>10</v>
      </c>
      <c r="Q130" s="39">
        <v>6.7456536855403302</v>
      </c>
      <c r="R130" s="39">
        <v>50.755122823290101</v>
      </c>
    </row>
    <row r="131" spans="1:18" hidden="1" x14ac:dyDescent="0.25">
      <c r="A131" s="37" t="s">
        <v>134</v>
      </c>
      <c r="B131" s="32">
        <v>0.541666666666754</v>
      </c>
      <c r="C131" s="38" t="s">
        <v>118</v>
      </c>
      <c r="D131" s="38" t="s">
        <v>111</v>
      </c>
      <c r="E131" s="32">
        <v>0</v>
      </c>
      <c r="F131" s="32">
        <v>0</v>
      </c>
      <c r="G131" s="32">
        <v>0.541666666666754</v>
      </c>
      <c r="H131" s="32">
        <v>0</v>
      </c>
      <c r="I131" s="32">
        <v>0.541666666666754</v>
      </c>
      <c r="J131" s="39">
        <v>0</v>
      </c>
      <c r="K131" s="39">
        <v>0</v>
      </c>
      <c r="L131" s="39">
        <v>0</v>
      </c>
      <c r="M131" s="40">
        <v>6.1047068266461203E-2</v>
      </c>
      <c r="N131" s="39">
        <v>0</v>
      </c>
      <c r="O131" s="40">
        <v>0.46124450889167301</v>
      </c>
      <c r="P131" s="39">
        <v>10</v>
      </c>
      <c r="Q131" s="39">
        <v>8.5152832410756591</v>
      </c>
      <c r="R131" s="39">
        <v>4.6124450889167301</v>
      </c>
    </row>
    <row r="132" spans="1:18" hidden="1" x14ac:dyDescent="0.25">
      <c r="A132" s="37" t="s">
        <v>135</v>
      </c>
      <c r="B132" s="32">
        <v>2.54166666666673</v>
      </c>
      <c r="C132" s="38" t="s">
        <v>118</v>
      </c>
      <c r="D132" s="38" t="s">
        <v>111</v>
      </c>
      <c r="E132" s="32">
        <v>0</v>
      </c>
      <c r="F132" s="32">
        <v>0</v>
      </c>
      <c r="G132" s="32">
        <v>2.54166666666673</v>
      </c>
      <c r="H132" s="32">
        <v>0</v>
      </c>
      <c r="I132" s="32">
        <v>2.54166666666673</v>
      </c>
      <c r="J132" s="39">
        <v>0</v>
      </c>
      <c r="K132" s="39">
        <v>0</v>
      </c>
      <c r="L132" s="39">
        <v>0</v>
      </c>
      <c r="M132" s="40">
        <v>0.34118057690054199</v>
      </c>
      <c r="N132" s="39">
        <v>0</v>
      </c>
      <c r="O132" s="40">
        <v>2.6825413756997301</v>
      </c>
      <c r="P132" s="39">
        <v>10</v>
      </c>
      <c r="Q132" s="39">
        <v>10.5542611502937</v>
      </c>
      <c r="R132" s="39">
        <v>26.8254137569973</v>
      </c>
    </row>
    <row r="133" spans="1:18" hidden="1" x14ac:dyDescent="0.25">
      <c r="A133" s="37" t="s">
        <v>136</v>
      </c>
      <c r="B133" s="32">
        <v>1.6762216760903701</v>
      </c>
      <c r="C133" s="38" t="s">
        <v>118</v>
      </c>
      <c r="D133" s="38" t="s">
        <v>111</v>
      </c>
      <c r="E133" s="32">
        <v>0</v>
      </c>
      <c r="F133" s="32">
        <v>0</v>
      </c>
      <c r="G133" s="32">
        <v>1.6762216760903701</v>
      </c>
      <c r="H133" s="32">
        <v>0</v>
      </c>
      <c r="I133" s="32">
        <v>1.6762216760903701</v>
      </c>
      <c r="J133" s="39">
        <v>0</v>
      </c>
      <c r="K133" s="39">
        <v>0</v>
      </c>
      <c r="L133" s="39">
        <v>0</v>
      </c>
      <c r="M133" s="40">
        <v>0.20247688929145899</v>
      </c>
      <c r="N133" s="39">
        <v>0</v>
      </c>
      <c r="O133" s="40">
        <v>1.46955804604276</v>
      </c>
      <c r="P133" s="39">
        <v>10</v>
      </c>
      <c r="Q133" s="39">
        <v>8.7670865196682097</v>
      </c>
      <c r="R133" s="39">
        <v>14.6955804604276</v>
      </c>
    </row>
    <row r="134" spans="1:18" hidden="1" x14ac:dyDescent="0.25">
      <c r="A134" s="37" t="s">
        <v>137</v>
      </c>
      <c r="B134" s="32">
        <v>0.86544499057635904</v>
      </c>
      <c r="C134" s="38" t="s">
        <v>118</v>
      </c>
      <c r="D134" s="38" t="s">
        <v>111</v>
      </c>
      <c r="E134" s="32">
        <v>0</v>
      </c>
      <c r="F134" s="32">
        <v>0</v>
      </c>
      <c r="G134" s="32">
        <v>0.86544499057635904</v>
      </c>
      <c r="H134" s="32">
        <v>0</v>
      </c>
      <c r="I134" s="32">
        <v>0.86544499057635904</v>
      </c>
      <c r="J134" s="39">
        <v>0</v>
      </c>
      <c r="K134" s="39">
        <v>0</v>
      </c>
      <c r="L134" s="39">
        <v>0</v>
      </c>
      <c r="M134" s="40">
        <v>9.7537623545673996E-2</v>
      </c>
      <c r="N134" s="39">
        <v>0</v>
      </c>
      <c r="O134" s="40">
        <v>0.74746557804838898</v>
      </c>
      <c r="P134" s="39">
        <v>10</v>
      </c>
      <c r="Q134" s="39">
        <v>8.6367774519163891</v>
      </c>
      <c r="R134" s="39">
        <v>7.4746557804838902</v>
      </c>
    </row>
    <row r="135" spans="1:18" hidden="1" x14ac:dyDescent="0.25">
      <c r="A135" s="37" t="s">
        <v>138</v>
      </c>
      <c r="B135" s="32">
        <v>0.541666666666754</v>
      </c>
      <c r="C135" s="38" t="s">
        <v>118</v>
      </c>
      <c r="D135" s="38" t="s">
        <v>111</v>
      </c>
      <c r="E135" s="32">
        <v>0</v>
      </c>
      <c r="F135" s="32">
        <v>0</v>
      </c>
      <c r="G135" s="32">
        <v>0.541666666666754</v>
      </c>
      <c r="H135" s="32">
        <v>0</v>
      </c>
      <c r="I135" s="32">
        <v>0.541666666666754</v>
      </c>
      <c r="J135" s="39">
        <v>0</v>
      </c>
      <c r="K135" s="39">
        <v>0</v>
      </c>
      <c r="L135" s="39">
        <v>0</v>
      </c>
      <c r="M135" s="40">
        <v>6.10470682664613E-2</v>
      </c>
      <c r="N135" s="39">
        <v>0</v>
      </c>
      <c r="O135" s="40">
        <v>0.466303011541011</v>
      </c>
      <c r="P135" s="39">
        <v>10</v>
      </c>
      <c r="Q135" s="39">
        <v>8.6086709822941891</v>
      </c>
      <c r="R135" s="39">
        <v>4.6630301154101099</v>
      </c>
    </row>
    <row r="136" spans="1:18" hidden="1" x14ac:dyDescent="0.25">
      <c r="A136" s="37" t="s">
        <v>139</v>
      </c>
      <c r="B136" s="32">
        <v>1.0928883427568601</v>
      </c>
      <c r="C136" s="38" t="s">
        <v>118</v>
      </c>
      <c r="D136" s="38" t="s">
        <v>111</v>
      </c>
      <c r="E136" s="32">
        <v>0</v>
      </c>
      <c r="F136" s="32">
        <v>0</v>
      </c>
      <c r="G136" s="32">
        <v>1.0928883427568601</v>
      </c>
      <c r="H136" s="32">
        <v>0</v>
      </c>
      <c r="I136" s="32">
        <v>1.0928883427568601</v>
      </c>
      <c r="J136" s="39">
        <v>0</v>
      </c>
      <c r="K136" s="39">
        <v>0</v>
      </c>
      <c r="L136" s="39">
        <v>0</v>
      </c>
      <c r="M136" s="40">
        <v>0.176280658980114</v>
      </c>
      <c r="N136" s="39">
        <v>0</v>
      </c>
      <c r="O136" s="40">
        <v>1.39208457881557</v>
      </c>
      <c r="P136" s="39">
        <v>10</v>
      </c>
      <c r="Q136" s="39">
        <v>12.737665179079301</v>
      </c>
      <c r="R136" s="39">
        <v>13.920845788155701</v>
      </c>
    </row>
    <row r="137" spans="1:18" hidden="1" x14ac:dyDescent="0.25">
      <c r="A137" s="37" t="s">
        <v>140</v>
      </c>
      <c r="B137" s="32">
        <v>4.4999999999999503</v>
      </c>
      <c r="C137" s="38" t="s">
        <v>118</v>
      </c>
      <c r="D137" s="38" t="s">
        <v>111</v>
      </c>
      <c r="E137" s="32">
        <v>0</v>
      </c>
      <c r="F137" s="32">
        <v>0</v>
      </c>
      <c r="G137" s="32">
        <v>4.4999999999999503</v>
      </c>
      <c r="H137" s="32">
        <v>0</v>
      </c>
      <c r="I137" s="32">
        <v>4.4999999999999503</v>
      </c>
      <c r="J137" s="39">
        <v>0</v>
      </c>
      <c r="K137" s="39">
        <v>0</v>
      </c>
      <c r="L137" s="39">
        <v>0</v>
      </c>
      <c r="M137" s="40">
        <v>1.0688455807050099</v>
      </c>
      <c r="N137" s="39">
        <v>0</v>
      </c>
      <c r="O137" s="40">
        <v>9.3494074329467391</v>
      </c>
      <c r="P137" s="39">
        <v>10</v>
      </c>
      <c r="Q137" s="39">
        <v>20.7764609621041</v>
      </c>
      <c r="R137" s="39">
        <v>93.494074329467395</v>
      </c>
    </row>
    <row r="138" spans="1:18" hidden="1" x14ac:dyDescent="0.25">
      <c r="A138" s="37" t="s">
        <v>141</v>
      </c>
      <c r="B138" s="32">
        <v>4.4999999999999503</v>
      </c>
      <c r="C138" s="38" t="s">
        <v>30</v>
      </c>
      <c r="D138" s="38" t="s">
        <v>111</v>
      </c>
      <c r="E138" s="32">
        <v>0</v>
      </c>
      <c r="F138" s="32">
        <v>0</v>
      </c>
      <c r="G138" s="32">
        <v>4.4999999999999503</v>
      </c>
      <c r="H138" s="32">
        <v>0</v>
      </c>
      <c r="I138" s="32">
        <v>4.4999999999999503</v>
      </c>
      <c r="J138" s="39">
        <v>0</v>
      </c>
      <c r="K138" s="39">
        <v>0</v>
      </c>
      <c r="L138" s="39">
        <v>0</v>
      </c>
      <c r="M138" s="40">
        <v>1.0688455807050099</v>
      </c>
      <c r="N138" s="39">
        <v>0</v>
      </c>
      <c r="O138" s="40">
        <v>10.0386289352281</v>
      </c>
      <c r="P138" s="39">
        <v>10</v>
      </c>
      <c r="Q138" s="39">
        <v>22.308064300507102</v>
      </c>
      <c r="R138" s="39">
        <v>100.386289352281</v>
      </c>
    </row>
    <row r="139" spans="1:18" hidden="1" x14ac:dyDescent="0.25">
      <c r="A139" s="37" t="s">
        <v>142</v>
      </c>
      <c r="B139" s="32">
        <v>1.21632276472186</v>
      </c>
      <c r="C139" s="38" t="s">
        <v>30</v>
      </c>
      <c r="D139" s="38" t="s">
        <v>111</v>
      </c>
      <c r="E139" s="32">
        <v>0</v>
      </c>
      <c r="F139" s="32">
        <v>0</v>
      </c>
      <c r="G139" s="32">
        <v>1.21632276472186</v>
      </c>
      <c r="H139" s="32">
        <v>0</v>
      </c>
      <c r="I139" s="32">
        <v>1.21632276472186</v>
      </c>
      <c r="J139" s="39">
        <v>0</v>
      </c>
      <c r="K139" s="39">
        <v>0</v>
      </c>
      <c r="L139" s="39">
        <v>0</v>
      </c>
      <c r="M139" s="40">
        <v>0.27164743970372501</v>
      </c>
      <c r="N139" s="39">
        <v>0</v>
      </c>
      <c r="O139" s="40">
        <v>2.5465052316907801</v>
      </c>
      <c r="P139" s="39">
        <v>10</v>
      </c>
      <c r="Q139" s="39">
        <v>20.936097765736498</v>
      </c>
      <c r="R139" s="39">
        <v>25.465052316907801</v>
      </c>
    </row>
    <row r="140" spans="1:18" hidden="1" x14ac:dyDescent="0.25">
      <c r="A140" s="37" t="s">
        <v>143</v>
      </c>
      <c r="B140" s="32">
        <v>1.2836772352781101</v>
      </c>
      <c r="C140" s="38" t="s">
        <v>30</v>
      </c>
      <c r="D140" s="38" t="s">
        <v>111</v>
      </c>
      <c r="E140" s="32">
        <v>0</v>
      </c>
      <c r="F140" s="32">
        <v>0</v>
      </c>
      <c r="G140" s="32">
        <v>1.2836772352781101</v>
      </c>
      <c r="H140" s="32">
        <v>0</v>
      </c>
      <c r="I140" s="32">
        <v>1.2836772352781101</v>
      </c>
      <c r="J140" s="39">
        <v>0</v>
      </c>
      <c r="K140" s="39">
        <v>0</v>
      </c>
      <c r="L140" s="39">
        <v>0</v>
      </c>
      <c r="M140" s="40">
        <v>0.20705451792245899</v>
      </c>
      <c r="N140" s="39">
        <v>0</v>
      </c>
      <c r="O140" s="40">
        <v>1.7950652463608701</v>
      </c>
      <c r="P140" s="39">
        <v>10</v>
      </c>
      <c r="Q140" s="39">
        <v>13.9837740907819</v>
      </c>
      <c r="R140" s="39">
        <v>17.950652463608701</v>
      </c>
    </row>
    <row r="141" spans="1:18" hidden="1" x14ac:dyDescent="0.25">
      <c r="A141" s="37" t="s">
        <v>144</v>
      </c>
      <c r="B141" s="32">
        <v>23.716322764721799</v>
      </c>
      <c r="C141" s="38" t="s">
        <v>30</v>
      </c>
      <c r="D141" s="38" t="s">
        <v>111</v>
      </c>
      <c r="E141" s="32">
        <v>0</v>
      </c>
      <c r="F141" s="32">
        <v>0</v>
      </c>
      <c r="G141" s="32">
        <v>23.716322764721799</v>
      </c>
      <c r="H141" s="32">
        <v>0</v>
      </c>
      <c r="I141" s="32">
        <v>23.716322764721799</v>
      </c>
      <c r="J141" s="39">
        <v>0</v>
      </c>
      <c r="K141" s="39">
        <v>0</v>
      </c>
      <c r="L141" s="39">
        <v>0</v>
      </c>
      <c r="M141" s="40">
        <v>2.3541040605619798</v>
      </c>
      <c r="N141" s="39">
        <v>0</v>
      </c>
      <c r="O141" s="40">
        <v>18.896236072067399</v>
      </c>
      <c r="P141" s="39">
        <v>10</v>
      </c>
      <c r="Q141" s="39">
        <v>7.9676079042808698</v>
      </c>
      <c r="R141" s="39">
        <v>188.96236072067401</v>
      </c>
    </row>
    <row r="142" spans="1:18" hidden="1" x14ac:dyDescent="0.25">
      <c r="A142" s="37" t="s">
        <v>145</v>
      </c>
      <c r="B142" s="32">
        <v>17.0405675630433</v>
      </c>
      <c r="C142" s="38" t="s">
        <v>30</v>
      </c>
      <c r="D142" s="38" t="s">
        <v>111</v>
      </c>
      <c r="E142" s="32">
        <v>0</v>
      </c>
      <c r="F142" s="32">
        <v>0</v>
      </c>
      <c r="G142" s="32">
        <v>17.0405675630433</v>
      </c>
      <c r="H142" s="32">
        <v>0</v>
      </c>
      <c r="I142" s="32">
        <v>17.0405675630433</v>
      </c>
      <c r="J142" s="39">
        <v>0</v>
      </c>
      <c r="K142" s="39">
        <v>0</v>
      </c>
      <c r="L142" s="39">
        <v>0</v>
      </c>
      <c r="M142" s="40">
        <v>1.6914624451861799</v>
      </c>
      <c r="N142" s="39">
        <v>0</v>
      </c>
      <c r="O142" s="40">
        <v>13.823607166263701</v>
      </c>
      <c r="P142" s="39">
        <v>10</v>
      </c>
      <c r="Q142" s="39">
        <v>8.1121753222842408</v>
      </c>
      <c r="R142" s="39">
        <v>138.23607166263699</v>
      </c>
    </row>
    <row r="143" spans="1:18" hidden="1" x14ac:dyDescent="0.25">
      <c r="A143" s="37" t="s">
        <v>146</v>
      </c>
      <c r="B143" s="32">
        <v>0.541666666666754</v>
      </c>
      <c r="C143" s="38" t="s">
        <v>30</v>
      </c>
      <c r="D143" s="38" t="s">
        <v>111</v>
      </c>
      <c r="E143" s="32">
        <v>0</v>
      </c>
      <c r="F143" s="32">
        <v>0</v>
      </c>
      <c r="G143" s="32">
        <v>0.541666666666754</v>
      </c>
      <c r="H143" s="32">
        <v>0</v>
      </c>
      <c r="I143" s="32">
        <v>0.541666666666754</v>
      </c>
      <c r="J143" s="39">
        <v>0</v>
      </c>
      <c r="K143" s="39">
        <v>0</v>
      </c>
      <c r="L143" s="39">
        <v>0</v>
      </c>
      <c r="M143" s="40">
        <v>6.1047068266461203E-2</v>
      </c>
      <c r="N143" s="39">
        <v>0</v>
      </c>
      <c r="O143" s="40">
        <v>0.55065516563561101</v>
      </c>
      <c r="P143" s="39">
        <v>10</v>
      </c>
      <c r="Q143" s="39">
        <v>10.165941519424999</v>
      </c>
      <c r="R143" s="39">
        <v>5.5065516563561099</v>
      </c>
    </row>
    <row r="144" spans="1:18" hidden="1" x14ac:dyDescent="0.25">
      <c r="A144" s="37" t="s">
        <v>147</v>
      </c>
      <c r="B144" s="32">
        <v>2.54166666666673</v>
      </c>
      <c r="C144" s="38" t="s">
        <v>30</v>
      </c>
      <c r="D144" s="38" t="s">
        <v>111</v>
      </c>
      <c r="E144" s="32">
        <v>0</v>
      </c>
      <c r="F144" s="32">
        <v>0</v>
      </c>
      <c r="G144" s="32">
        <v>2.54166666666673</v>
      </c>
      <c r="H144" s="32">
        <v>0</v>
      </c>
      <c r="I144" s="32">
        <v>2.54166666666673</v>
      </c>
      <c r="J144" s="39">
        <v>0</v>
      </c>
      <c r="K144" s="39">
        <v>0</v>
      </c>
      <c r="L144" s="39">
        <v>0</v>
      </c>
      <c r="M144" s="40">
        <v>0.33372229746396098</v>
      </c>
      <c r="N144" s="39">
        <v>0</v>
      </c>
      <c r="O144" s="40">
        <v>3.21549739403895</v>
      </c>
      <c r="P144" s="39">
        <v>10</v>
      </c>
      <c r="Q144" s="39">
        <v>12.6511372880218</v>
      </c>
      <c r="R144" s="39">
        <v>32.154973940389503</v>
      </c>
    </row>
    <row r="145" spans="1:18" hidden="1" x14ac:dyDescent="0.25">
      <c r="A145" s="37" t="s">
        <v>148</v>
      </c>
      <c r="B145" s="32">
        <v>2.54166666666673</v>
      </c>
      <c r="C145" s="38" t="s">
        <v>30</v>
      </c>
      <c r="D145" s="38" t="s">
        <v>111</v>
      </c>
      <c r="E145" s="32">
        <v>0</v>
      </c>
      <c r="F145" s="32">
        <v>0</v>
      </c>
      <c r="G145" s="32">
        <v>2.54166666666673</v>
      </c>
      <c r="H145" s="32">
        <v>0</v>
      </c>
      <c r="I145" s="32">
        <v>2.54166666666673</v>
      </c>
      <c r="J145" s="39">
        <v>0</v>
      </c>
      <c r="K145" s="39">
        <v>0</v>
      </c>
      <c r="L145" s="39">
        <v>0</v>
      </c>
      <c r="M145" s="40">
        <v>0.33372229746396098</v>
      </c>
      <c r="N145" s="39">
        <v>0</v>
      </c>
      <c r="O145" s="40">
        <v>3.2616627189925702</v>
      </c>
      <c r="P145" s="39">
        <v>10</v>
      </c>
      <c r="Q145" s="39">
        <v>12.832771353413101</v>
      </c>
      <c r="R145" s="39">
        <v>32.616627189925701</v>
      </c>
    </row>
    <row r="146" spans="1:18" hidden="1" x14ac:dyDescent="0.25">
      <c r="A146" s="37" t="s">
        <v>149</v>
      </c>
      <c r="B146" s="32">
        <v>0.541666666666754</v>
      </c>
      <c r="C146" s="38" t="s">
        <v>30</v>
      </c>
      <c r="D146" s="38" t="s">
        <v>111</v>
      </c>
      <c r="E146" s="32">
        <v>0</v>
      </c>
      <c r="F146" s="32">
        <v>0</v>
      </c>
      <c r="G146" s="32">
        <v>0.541666666666754</v>
      </c>
      <c r="H146" s="32">
        <v>0</v>
      </c>
      <c r="I146" s="32">
        <v>0.541666666666754</v>
      </c>
      <c r="J146" s="39">
        <v>0</v>
      </c>
      <c r="K146" s="39">
        <v>0</v>
      </c>
      <c r="L146" s="39">
        <v>0</v>
      </c>
      <c r="M146" s="40">
        <v>6.1047068266461203E-2</v>
      </c>
      <c r="N146" s="39">
        <v>0</v>
      </c>
      <c r="O146" s="40">
        <v>0.56363451815951504</v>
      </c>
      <c r="P146" s="39">
        <v>10</v>
      </c>
      <c r="Q146" s="39">
        <v>10.4055603352509</v>
      </c>
      <c r="R146" s="39">
        <v>5.6363451815951597</v>
      </c>
    </row>
    <row r="147" spans="1:18" hidden="1" x14ac:dyDescent="0.25">
      <c r="A147" s="37" t="s">
        <v>150</v>
      </c>
      <c r="B147" s="32">
        <v>1.79276577028966</v>
      </c>
      <c r="C147" s="38" t="s">
        <v>30</v>
      </c>
      <c r="D147" s="38" t="s">
        <v>111</v>
      </c>
      <c r="E147" s="32">
        <v>0</v>
      </c>
      <c r="F147" s="32">
        <v>0</v>
      </c>
      <c r="G147" s="32">
        <v>1.79276577028966</v>
      </c>
      <c r="H147" s="32">
        <v>0</v>
      </c>
      <c r="I147" s="32">
        <v>1.79276577028966</v>
      </c>
      <c r="J147" s="39">
        <v>0</v>
      </c>
      <c r="K147" s="39">
        <v>0</v>
      </c>
      <c r="L147" s="39">
        <v>0</v>
      </c>
      <c r="M147" s="40">
        <v>0.17795158302337</v>
      </c>
      <c r="N147" s="39">
        <v>0</v>
      </c>
      <c r="O147" s="40">
        <v>1.50506441858247</v>
      </c>
      <c r="P147" s="39">
        <v>10</v>
      </c>
      <c r="Q147" s="39">
        <v>8.3952094775844195</v>
      </c>
      <c r="R147" s="39">
        <v>15.0506441858247</v>
      </c>
    </row>
    <row r="148" spans="1:18" hidden="1" x14ac:dyDescent="0.25">
      <c r="A148" s="37" t="s">
        <v>151</v>
      </c>
      <c r="B148" s="32">
        <v>6.7145768473928804</v>
      </c>
      <c r="C148" s="38" t="s">
        <v>30</v>
      </c>
      <c r="D148" s="38" t="s">
        <v>111</v>
      </c>
      <c r="E148" s="32">
        <v>0</v>
      </c>
      <c r="F148" s="32">
        <v>0</v>
      </c>
      <c r="G148" s="32">
        <v>6.7145768473928804</v>
      </c>
      <c r="H148" s="32">
        <v>0</v>
      </c>
      <c r="I148" s="32">
        <v>6.7145768473928804</v>
      </c>
      <c r="J148" s="39">
        <v>0</v>
      </c>
      <c r="K148" s="39">
        <v>0</v>
      </c>
      <c r="L148" s="39">
        <v>0</v>
      </c>
      <c r="M148" s="40">
        <v>0.666495087717215</v>
      </c>
      <c r="N148" s="39">
        <v>0</v>
      </c>
      <c r="O148" s="40">
        <v>5.5877153638460602</v>
      </c>
      <c r="P148" s="39">
        <v>10</v>
      </c>
      <c r="Q148" s="39">
        <v>8.3217684313429903</v>
      </c>
      <c r="R148" s="39">
        <v>55.877153638460598</v>
      </c>
    </row>
    <row r="149" spans="1:18" hidden="1" x14ac:dyDescent="0.25">
      <c r="A149" s="37" t="s">
        <v>152</v>
      </c>
      <c r="B149" s="32">
        <v>2.4999950000000002</v>
      </c>
      <c r="C149" s="38" t="s">
        <v>30</v>
      </c>
      <c r="D149" s="38" t="s">
        <v>111</v>
      </c>
      <c r="E149" s="32">
        <v>0</v>
      </c>
      <c r="F149" s="32">
        <v>0</v>
      </c>
      <c r="G149" s="32">
        <v>2.4999950000000002</v>
      </c>
      <c r="H149" s="32">
        <v>0</v>
      </c>
      <c r="I149" s="32">
        <v>2.4999950000000002</v>
      </c>
      <c r="J149" s="39">
        <v>0</v>
      </c>
      <c r="K149" s="39">
        <v>0</v>
      </c>
      <c r="L149" s="39">
        <v>0</v>
      </c>
      <c r="M149" s="40">
        <v>0.40324378054780002</v>
      </c>
      <c r="N149" s="39">
        <v>0</v>
      </c>
      <c r="O149" s="40">
        <v>3.5148131672566998</v>
      </c>
      <c r="P149" s="39">
        <v>10</v>
      </c>
      <c r="Q149" s="39">
        <v>14.059280787588399</v>
      </c>
      <c r="R149" s="39">
        <v>35.148131672566997</v>
      </c>
    </row>
    <row r="150" spans="1:18" hidden="1" x14ac:dyDescent="0.25">
      <c r="A150" s="37" t="s">
        <v>153</v>
      </c>
      <c r="B150" s="32">
        <v>4.4999949999999798</v>
      </c>
      <c r="C150" s="38" t="s">
        <v>30</v>
      </c>
      <c r="D150" s="38" t="s">
        <v>111</v>
      </c>
      <c r="E150" s="32">
        <v>0</v>
      </c>
      <c r="F150" s="32">
        <v>0</v>
      </c>
      <c r="G150" s="32">
        <v>4.4999949999999798</v>
      </c>
      <c r="H150" s="32">
        <v>0</v>
      </c>
      <c r="I150" s="32">
        <v>4.4999949999999798</v>
      </c>
      <c r="J150" s="39">
        <v>0</v>
      </c>
      <c r="K150" s="39">
        <v>0</v>
      </c>
      <c r="L150" s="39">
        <v>0</v>
      </c>
      <c r="M150" s="40">
        <v>1.0050052483261001</v>
      </c>
      <c r="N150" s="39">
        <v>0</v>
      </c>
      <c r="O150" s="40">
        <v>8.5417826700795203</v>
      </c>
      <c r="P150" s="39">
        <v>10</v>
      </c>
      <c r="Q150" s="39">
        <v>18.981760357688302</v>
      </c>
      <c r="R150" s="39">
        <v>85.417826700795104</v>
      </c>
    </row>
    <row r="151" spans="1:18" hidden="1" x14ac:dyDescent="0.25">
      <c r="A151" s="37" t="s">
        <v>154</v>
      </c>
      <c r="B151" s="32">
        <v>0</v>
      </c>
      <c r="C151" s="38" t="s">
        <v>30</v>
      </c>
      <c r="D151" s="38" t="s">
        <v>111</v>
      </c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</row>
    <row r="152" spans="1:18" x14ac:dyDescent="0.25">
      <c r="A152" s="42" t="s">
        <v>37</v>
      </c>
      <c r="B152" s="43">
        <v>313.71456684739201</v>
      </c>
      <c r="C152" s="44" t="s">
        <v>108</v>
      </c>
      <c r="D152" s="44" t="s">
        <v>111</v>
      </c>
      <c r="E152" s="45">
        <f>SUM(E109:E150)</f>
        <v>0</v>
      </c>
      <c r="F152" s="45">
        <f>SUM(F109:F150)</f>
        <v>0</v>
      </c>
      <c r="G152" s="45">
        <f>SUM(G109:G150)</f>
        <v>313.71456684739167</v>
      </c>
      <c r="H152" s="45">
        <f>SUM(H109:H150)</f>
        <v>0</v>
      </c>
      <c r="I152" s="45">
        <f>SUM(I109:I150)</f>
        <v>313.71456684739167</v>
      </c>
      <c r="J152" s="46">
        <v>0</v>
      </c>
      <c r="K152" s="46">
        <v>0</v>
      </c>
      <c r="L152" s="44" t="s">
        <v>108</v>
      </c>
      <c r="M152" s="47">
        <f>SUM(M109:M150)</f>
        <v>36.778867731535627</v>
      </c>
      <c r="N152" s="48">
        <f>(N109)</f>
        <v>0</v>
      </c>
      <c r="O152" s="47">
        <f>SUM(O109:O150)</f>
        <v>252.58840967052646</v>
      </c>
      <c r="P152" s="48">
        <f>(P109)</f>
        <v>10</v>
      </c>
      <c r="Q152" s="48">
        <f>(R152/B152)</f>
        <v>8.0515358980253939</v>
      </c>
      <c r="R152" s="48">
        <f>SUM(R109:R150)</f>
        <v>2525.8840967052638</v>
      </c>
    </row>
    <row r="154" spans="1:18" x14ac:dyDescent="0.25">
      <c r="A154" s="21" t="s">
        <v>1</v>
      </c>
      <c r="B154" s="27" t="s">
        <v>1</v>
      </c>
      <c r="C154" s="27" t="s">
        <v>1</v>
      </c>
      <c r="D154" s="27" t="s">
        <v>1</v>
      </c>
      <c r="E154" s="27" t="s">
        <v>1</v>
      </c>
      <c r="F154" s="27" t="s">
        <v>1</v>
      </c>
      <c r="G154" s="27" t="s">
        <v>1</v>
      </c>
      <c r="H154" s="27" t="s">
        <v>1</v>
      </c>
      <c r="I154" s="27" t="s">
        <v>1</v>
      </c>
      <c r="J154" s="27" t="s">
        <v>1</v>
      </c>
      <c r="K154" s="27" t="s">
        <v>1</v>
      </c>
      <c r="L154" s="27" t="s">
        <v>1</v>
      </c>
      <c r="M154" s="27" t="s">
        <v>1</v>
      </c>
      <c r="N154" s="27" t="s">
        <v>1</v>
      </c>
      <c r="O154" s="27" t="s">
        <v>1</v>
      </c>
      <c r="P154" s="27" t="s">
        <v>1</v>
      </c>
      <c r="Q154" s="27" t="s">
        <v>1</v>
      </c>
      <c r="R154" s="26" t="s">
        <v>1</v>
      </c>
    </row>
    <row r="155" spans="1:18" x14ac:dyDescent="0.25">
      <c r="A155" s="24" t="s">
        <v>155</v>
      </c>
      <c r="B155" s="20" t="s">
        <v>155</v>
      </c>
      <c r="C155" s="20" t="s">
        <v>155</v>
      </c>
      <c r="D155" s="20" t="s">
        <v>155</v>
      </c>
      <c r="E155" s="20" t="s">
        <v>155</v>
      </c>
      <c r="F155" s="20" t="s">
        <v>155</v>
      </c>
      <c r="G155" s="20" t="s">
        <v>155</v>
      </c>
      <c r="H155" s="20" t="s">
        <v>155</v>
      </c>
      <c r="I155" s="20" t="s">
        <v>155</v>
      </c>
      <c r="J155" s="20" t="s">
        <v>155</v>
      </c>
      <c r="K155" s="20" t="s">
        <v>155</v>
      </c>
      <c r="L155" s="20" t="s">
        <v>155</v>
      </c>
      <c r="M155" s="20" t="s">
        <v>155</v>
      </c>
      <c r="N155" s="20" t="s">
        <v>155</v>
      </c>
      <c r="O155" s="20" t="s">
        <v>155</v>
      </c>
      <c r="P155" s="20" t="s">
        <v>155</v>
      </c>
      <c r="Q155" s="20" t="s">
        <v>155</v>
      </c>
      <c r="R155" s="23" t="s">
        <v>155</v>
      </c>
    </row>
    <row r="156" spans="1:18" x14ac:dyDescent="0.25">
      <c r="A156" s="19" t="s">
        <v>14</v>
      </c>
      <c r="B156" s="19" t="s">
        <v>15</v>
      </c>
      <c r="C156" s="19" t="s">
        <v>4</v>
      </c>
      <c r="D156" s="17" t="s">
        <v>16</v>
      </c>
      <c r="E156" s="15" t="s">
        <v>17</v>
      </c>
      <c r="F156" s="15" t="s">
        <v>17</v>
      </c>
      <c r="G156" s="15" t="s">
        <v>17</v>
      </c>
      <c r="H156" s="15" t="s">
        <v>17</v>
      </c>
      <c r="I156" s="15" t="s">
        <v>17</v>
      </c>
      <c r="J156" s="15" t="s">
        <v>18</v>
      </c>
      <c r="K156" s="15" t="s">
        <v>18</v>
      </c>
      <c r="L156" s="17" t="s">
        <v>18</v>
      </c>
      <c r="M156" s="14" t="s">
        <v>19</v>
      </c>
      <c r="N156" s="15" t="s">
        <v>19</v>
      </c>
      <c r="O156" s="14" t="s">
        <v>20</v>
      </c>
      <c r="P156" s="15" t="s">
        <v>20</v>
      </c>
      <c r="Q156" s="17" t="s">
        <v>21</v>
      </c>
      <c r="R156" s="17" t="s">
        <v>22</v>
      </c>
    </row>
    <row r="157" spans="1:18" x14ac:dyDescent="0.25">
      <c r="A157" s="18" t="s">
        <v>14</v>
      </c>
      <c r="B157" s="18" t="s">
        <v>15</v>
      </c>
      <c r="C157" s="18" t="s">
        <v>4</v>
      </c>
      <c r="D157" s="16" t="s">
        <v>16</v>
      </c>
      <c r="E157" s="35" t="s">
        <v>23</v>
      </c>
      <c r="F157" s="35" t="s">
        <v>24</v>
      </c>
      <c r="G157" s="35" t="s">
        <v>25</v>
      </c>
      <c r="H157" s="35" t="s">
        <v>26</v>
      </c>
      <c r="I157" s="36" t="s">
        <v>11</v>
      </c>
      <c r="J157" s="35" t="s">
        <v>24</v>
      </c>
      <c r="K157" s="35" t="s">
        <v>25</v>
      </c>
      <c r="L157" s="16" t="s">
        <v>18</v>
      </c>
      <c r="M157" s="35" t="s">
        <v>27</v>
      </c>
      <c r="N157" s="35" t="s">
        <v>28</v>
      </c>
      <c r="O157" s="35" t="s">
        <v>27</v>
      </c>
      <c r="P157" s="35" t="s">
        <v>28</v>
      </c>
      <c r="Q157" s="16" t="s">
        <v>21</v>
      </c>
      <c r="R157" s="16" t="s">
        <v>22</v>
      </c>
    </row>
    <row r="158" spans="1:18" hidden="1" x14ac:dyDescent="0.25">
      <c r="A158" s="37" t="s">
        <v>156</v>
      </c>
      <c r="B158" s="32">
        <v>4.24999550000007</v>
      </c>
      <c r="C158" s="38" t="s">
        <v>55</v>
      </c>
      <c r="D158" s="38" t="s">
        <v>157</v>
      </c>
      <c r="E158" s="32">
        <v>0</v>
      </c>
      <c r="F158" s="32">
        <v>4.24999550000007</v>
      </c>
      <c r="G158" s="32">
        <v>0</v>
      </c>
      <c r="H158" s="32">
        <v>0</v>
      </c>
      <c r="I158" s="32">
        <v>4.24999550000007</v>
      </c>
      <c r="J158" s="39">
        <v>0</v>
      </c>
      <c r="K158" s="39">
        <v>0</v>
      </c>
      <c r="L158" s="39">
        <v>0</v>
      </c>
      <c r="M158" s="40">
        <v>0.89644035331009098</v>
      </c>
      <c r="N158" s="39">
        <v>0</v>
      </c>
      <c r="O158" s="40">
        <v>3.0054755027793698</v>
      </c>
      <c r="P158" s="39">
        <v>10</v>
      </c>
      <c r="Q158" s="39">
        <v>7.0717145530608603</v>
      </c>
      <c r="R158" s="39">
        <v>30.0547550277937</v>
      </c>
    </row>
    <row r="159" spans="1:18" hidden="1" x14ac:dyDescent="0.25">
      <c r="A159" s="37" t="s">
        <v>158</v>
      </c>
      <c r="B159" s="32">
        <v>2.2499954999999101</v>
      </c>
      <c r="C159" s="38" t="s">
        <v>55</v>
      </c>
      <c r="D159" s="38" t="s">
        <v>157</v>
      </c>
      <c r="E159" s="32">
        <v>0</v>
      </c>
      <c r="F159" s="32">
        <v>2.2499954999999101</v>
      </c>
      <c r="G159" s="32">
        <v>0</v>
      </c>
      <c r="H159" s="32">
        <v>0</v>
      </c>
      <c r="I159" s="32">
        <v>2.2499954999999101</v>
      </c>
      <c r="J159" s="39">
        <v>0</v>
      </c>
      <c r="K159" s="39">
        <v>0</v>
      </c>
      <c r="L159" s="39">
        <v>0</v>
      </c>
      <c r="M159" s="40">
        <v>0.34896112528585499</v>
      </c>
      <c r="N159" s="39">
        <v>0</v>
      </c>
      <c r="O159" s="40">
        <v>1.0595273115020101</v>
      </c>
      <c r="P159" s="39">
        <v>10</v>
      </c>
      <c r="Q159" s="39">
        <v>4.7090196913818403</v>
      </c>
      <c r="R159" s="39">
        <v>10.595273115020101</v>
      </c>
    </row>
    <row r="160" spans="1:18" hidden="1" x14ac:dyDescent="0.25">
      <c r="A160" s="37" t="s">
        <v>159</v>
      </c>
      <c r="B160" s="32">
        <v>18.500008999999899</v>
      </c>
      <c r="C160" s="38" t="s">
        <v>55</v>
      </c>
      <c r="D160" s="38" t="s">
        <v>157</v>
      </c>
      <c r="E160" s="32">
        <v>0</v>
      </c>
      <c r="F160" s="32">
        <v>2.9148458617590198</v>
      </c>
      <c r="G160" s="32">
        <v>15.585163138240899</v>
      </c>
      <c r="H160" s="32">
        <v>0</v>
      </c>
      <c r="I160" s="32">
        <v>18.500008999999899</v>
      </c>
      <c r="J160" s="39">
        <v>0</v>
      </c>
      <c r="K160" s="39">
        <v>0</v>
      </c>
      <c r="L160" s="39">
        <v>0</v>
      </c>
      <c r="M160" s="40">
        <v>1.8363279187345001</v>
      </c>
      <c r="N160" s="39">
        <v>0</v>
      </c>
      <c r="O160" s="40">
        <v>5.4353613091155397</v>
      </c>
      <c r="P160" s="39">
        <v>10</v>
      </c>
      <c r="Q160" s="39">
        <v>2.93803171074974</v>
      </c>
      <c r="R160" s="39">
        <v>54.353613091155403</v>
      </c>
    </row>
    <row r="161" spans="1:18" hidden="1" x14ac:dyDescent="0.25">
      <c r="A161" s="37" t="s">
        <v>160</v>
      </c>
      <c r="B161" s="32">
        <v>14.225813022650801</v>
      </c>
      <c r="C161" s="38" t="s">
        <v>55</v>
      </c>
      <c r="D161" s="38" t="s">
        <v>157</v>
      </c>
      <c r="E161" s="32">
        <v>0</v>
      </c>
      <c r="F161" s="32">
        <v>0</v>
      </c>
      <c r="G161" s="32">
        <v>14.225813022650801</v>
      </c>
      <c r="H161" s="32">
        <v>0</v>
      </c>
      <c r="I161" s="32">
        <v>14.225813022650801</v>
      </c>
      <c r="J161" s="39">
        <v>0</v>
      </c>
      <c r="K161" s="39">
        <v>0</v>
      </c>
      <c r="L161" s="39">
        <v>0</v>
      </c>
      <c r="M161" s="40">
        <v>1.41206723237874</v>
      </c>
      <c r="N161" s="39">
        <v>0</v>
      </c>
      <c r="O161" s="40">
        <v>6.8401000283500899</v>
      </c>
      <c r="P161" s="39">
        <v>10</v>
      </c>
      <c r="Q161" s="39">
        <v>4.8082313590506596</v>
      </c>
      <c r="R161" s="39">
        <v>68.401000283500906</v>
      </c>
    </row>
    <row r="162" spans="1:18" hidden="1" x14ac:dyDescent="0.25">
      <c r="A162" s="37" t="s">
        <v>161</v>
      </c>
      <c r="B162" s="32">
        <v>1.5833333333333199</v>
      </c>
      <c r="C162" s="38" t="s">
        <v>55</v>
      </c>
      <c r="D162" s="38" t="s">
        <v>157</v>
      </c>
      <c r="E162" s="32">
        <v>0</v>
      </c>
      <c r="F162" s="32">
        <v>0</v>
      </c>
      <c r="G162" s="32">
        <v>1.5833333333333199</v>
      </c>
      <c r="H162" s="32">
        <v>0</v>
      </c>
      <c r="I162" s="32">
        <v>1.5833333333333199</v>
      </c>
      <c r="J162" s="39">
        <v>0</v>
      </c>
      <c r="K162" s="39">
        <v>0</v>
      </c>
      <c r="L162" s="39">
        <v>0</v>
      </c>
      <c r="M162" s="40">
        <v>0.219372481917917</v>
      </c>
      <c r="N162" s="39">
        <v>0</v>
      </c>
      <c r="O162" s="40">
        <v>1.52421773674369</v>
      </c>
      <c r="P162" s="39">
        <v>10</v>
      </c>
      <c r="Q162" s="39">
        <v>9.6266383373286697</v>
      </c>
      <c r="R162" s="39">
        <v>15.2421773674369</v>
      </c>
    </row>
    <row r="163" spans="1:18" hidden="1" x14ac:dyDescent="0.25">
      <c r="A163" s="37" t="s">
        <v>162</v>
      </c>
      <c r="B163" s="32">
        <v>3.58333333333329</v>
      </c>
      <c r="C163" s="38" t="s">
        <v>55</v>
      </c>
      <c r="D163" s="38" t="s">
        <v>157</v>
      </c>
      <c r="E163" s="32">
        <v>0</v>
      </c>
      <c r="F163" s="32">
        <v>0</v>
      </c>
      <c r="G163" s="32">
        <v>3.58333333333329</v>
      </c>
      <c r="H163" s="32">
        <v>0</v>
      </c>
      <c r="I163" s="32">
        <v>3.58333333333329</v>
      </c>
      <c r="J163" s="39">
        <v>0</v>
      </c>
      <c r="K163" s="39">
        <v>0</v>
      </c>
      <c r="L163" s="39">
        <v>0</v>
      </c>
      <c r="M163" s="40">
        <v>0.663599052428962</v>
      </c>
      <c r="N163" s="39">
        <v>0</v>
      </c>
      <c r="O163" s="40">
        <v>5.3595751092858599</v>
      </c>
      <c r="P163" s="39">
        <v>10</v>
      </c>
      <c r="Q163" s="39">
        <v>14.956953793356</v>
      </c>
      <c r="R163" s="39">
        <v>53.595751092858599</v>
      </c>
    </row>
    <row r="164" spans="1:18" hidden="1" x14ac:dyDescent="0.25">
      <c r="A164" s="37" t="s">
        <v>163</v>
      </c>
      <c r="B164" s="32">
        <v>3.58333333333329</v>
      </c>
      <c r="C164" s="38" t="s">
        <v>55</v>
      </c>
      <c r="D164" s="38" t="s">
        <v>157</v>
      </c>
      <c r="E164" s="32">
        <v>0</v>
      </c>
      <c r="F164" s="32">
        <v>0</v>
      </c>
      <c r="G164" s="32">
        <v>3.58333333333329</v>
      </c>
      <c r="H164" s="32">
        <v>0</v>
      </c>
      <c r="I164" s="32">
        <v>3.58333333333329</v>
      </c>
      <c r="J164" s="39">
        <v>0</v>
      </c>
      <c r="K164" s="39">
        <v>0</v>
      </c>
      <c r="L164" s="39">
        <v>0</v>
      </c>
      <c r="M164" s="40">
        <v>0.663599052428962</v>
      </c>
      <c r="N164" s="39">
        <v>0</v>
      </c>
      <c r="O164" s="40">
        <v>5.4126457714833602</v>
      </c>
      <c r="P164" s="39">
        <v>10</v>
      </c>
      <c r="Q164" s="39">
        <v>15.105057966930501</v>
      </c>
      <c r="R164" s="39">
        <v>54.126457714833599</v>
      </c>
    </row>
    <row r="165" spans="1:18" hidden="1" x14ac:dyDescent="0.25">
      <c r="A165" s="37" t="s">
        <v>164</v>
      </c>
      <c r="B165" s="32">
        <v>1.5833333333333199</v>
      </c>
      <c r="C165" s="38" t="s">
        <v>55</v>
      </c>
      <c r="D165" s="38" t="s">
        <v>157</v>
      </c>
      <c r="E165" s="32">
        <v>0</v>
      </c>
      <c r="F165" s="32">
        <v>0</v>
      </c>
      <c r="G165" s="32">
        <v>1.5833333333333199</v>
      </c>
      <c r="H165" s="32">
        <v>0</v>
      </c>
      <c r="I165" s="32">
        <v>1.5833333333333199</v>
      </c>
      <c r="J165" s="39">
        <v>0</v>
      </c>
      <c r="K165" s="39">
        <v>0</v>
      </c>
      <c r="L165" s="39">
        <v>0</v>
      </c>
      <c r="M165" s="40">
        <v>0.21937248840531301</v>
      </c>
      <c r="N165" s="39">
        <v>0</v>
      </c>
      <c r="O165" s="40">
        <v>1.5501776321837899</v>
      </c>
      <c r="P165" s="39">
        <v>10</v>
      </c>
      <c r="Q165" s="39">
        <v>9.7905955716872199</v>
      </c>
      <c r="R165" s="39">
        <v>15.5017763218379</v>
      </c>
    </row>
    <row r="166" spans="1:18" hidden="1" x14ac:dyDescent="0.25">
      <c r="A166" s="37" t="s">
        <v>165</v>
      </c>
      <c r="B166" s="32">
        <v>0.44085364401586202</v>
      </c>
      <c r="C166" s="38" t="s">
        <v>55</v>
      </c>
      <c r="D166" s="38" t="s">
        <v>157</v>
      </c>
      <c r="E166" s="32">
        <v>0</v>
      </c>
      <c r="F166" s="32">
        <v>0</v>
      </c>
      <c r="G166" s="32">
        <v>0.44085364401586202</v>
      </c>
      <c r="H166" s="32">
        <v>0</v>
      </c>
      <c r="I166" s="32">
        <v>0.44085364401586202</v>
      </c>
      <c r="J166" s="39">
        <v>0</v>
      </c>
      <c r="K166" s="39">
        <v>0</v>
      </c>
      <c r="L166" s="39">
        <v>0</v>
      </c>
      <c r="M166" s="40">
        <v>4.3759539106755799E-2</v>
      </c>
      <c r="N166" s="39">
        <v>0</v>
      </c>
      <c r="O166" s="40">
        <v>0.23397466858938501</v>
      </c>
      <c r="P166" s="39">
        <v>10</v>
      </c>
      <c r="Q166" s="39">
        <v>5.3073093931592101</v>
      </c>
      <c r="R166" s="39">
        <v>2.33974668589385</v>
      </c>
    </row>
    <row r="167" spans="1:18" hidden="1" x14ac:dyDescent="0.25">
      <c r="A167" s="37" t="s">
        <v>166</v>
      </c>
      <c r="B167" s="32">
        <v>24.999999999999901</v>
      </c>
      <c r="C167" s="38" t="s">
        <v>55</v>
      </c>
      <c r="D167" s="38" t="s">
        <v>157</v>
      </c>
      <c r="E167" s="32">
        <v>0</v>
      </c>
      <c r="F167" s="32">
        <v>0</v>
      </c>
      <c r="G167" s="32">
        <v>24.999999999999901</v>
      </c>
      <c r="H167" s="32">
        <v>0</v>
      </c>
      <c r="I167" s="32">
        <v>24.999999999999901</v>
      </c>
      <c r="J167" s="39">
        <v>0</v>
      </c>
      <c r="K167" s="39">
        <v>0</v>
      </c>
      <c r="L167" s="39">
        <v>0</v>
      </c>
      <c r="M167" s="40">
        <v>2.4815230462959001</v>
      </c>
      <c r="N167" s="39">
        <v>0</v>
      </c>
      <c r="O167" s="40">
        <v>12.2663661473918</v>
      </c>
      <c r="P167" s="39">
        <v>10</v>
      </c>
      <c r="Q167" s="39">
        <v>4.9065464589567203</v>
      </c>
      <c r="R167" s="39">
        <v>122.663661473918</v>
      </c>
    </row>
    <row r="168" spans="1:18" hidden="1" x14ac:dyDescent="0.25">
      <c r="A168" s="37" t="s">
        <v>167</v>
      </c>
      <c r="B168" s="32">
        <v>24.999999999999901</v>
      </c>
      <c r="C168" s="38" t="s">
        <v>55</v>
      </c>
      <c r="D168" s="38" t="s">
        <v>157</v>
      </c>
      <c r="E168" s="32">
        <v>0</v>
      </c>
      <c r="F168" s="32">
        <v>0</v>
      </c>
      <c r="G168" s="32">
        <v>24.999999999999901</v>
      </c>
      <c r="H168" s="32">
        <v>0</v>
      </c>
      <c r="I168" s="32">
        <v>24.999999999999901</v>
      </c>
      <c r="J168" s="39">
        <v>0</v>
      </c>
      <c r="K168" s="39">
        <v>0</v>
      </c>
      <c r="L168" s="39">
        <v>0</v>
      </c>
      <c r="M168" s="40">
        <v>2.4815230462959001</v>
      </c>
      <c r="N168" s="39">
        <v>0</v>
      </c>
      <c r="O168" s="40">
        <v>11.831572334556199</v>
      </c>
      <c r="P168" s="39">
        <v>10</v>
      </c>
      <c r="Q168" s="39">
        <v>4.7326289338224896</v>
      </c>
      <c r="R168" s="39">
        <v>118.31572334556201</v>
      </c>
    </row>
    <row r="169" spans="1:18" hidden="1" x14ac:dyDescent="0.25">
      <c r="A169" s="37" t="s">
        <v>168</v>
      </c>
      <c r="B169" s="32">
        <v>24.999999999999901</v>
      </c>
      <c r="C169" s="38" t="s">
        <v>55</v>
      </c>
      <c r="D169" s="38" t="s">
        <v>157</v>
      </c>
      <c r="E169" s="32">
        <v>0</v>
      </c>
      <c r="F169" s="32">
        <v>0</v>
      </c>
      <c r="G169" s="32">
        <v>24.999999999999901</v>
      </c>
      <c r="H169" s="32">
        <v>0</v>
      </c>
      <c r="I169" s="32">
        <v>24.999999999999901</v>
      </c>
      <c r="J169" s="39">
        <v>0</v>
      </c>
      <c r="K169" s="39">
        <v>0</v>
      </c>
      <c r="L169" s="39">
        <v>0</v>
      </c>
      <c r="M169" s="40">
        <v>2.4815230462959001</v>
      </c>
      <c r="N169" s="39">
        <v>0</v>
      </c>
      <c r="O169" s="40">
        <v>12.9105660382639</v>
      </c>
      <c r="P169" s="39">
        <v>10</v>
      </c>
      <c r="Q169" s="39">
        <v>5.1642264153055804</v>
      </c>
      <c r="R169" s="39">
        <v>129.105660382639</v>
      </c>
    </row>
    <row r="170" spans="1:18" hidden="1" x14ac:dyDescent="0.25">
      <c r="A170" s="37" t="s">
        <v>169</v>
      </c>
      <c r="B170" s="32">
        <v>24.999999999999901</v>
      </c>
      <c r="C170" s="38" t="s">
        <v>55</v>
      </c>
      <c r="D170" s="38" t="s">
        <v>157</v>
      </c>
      <c r="E170" s="32">
        <v>0</v>
      </c>
      <c r="F170" s="32">
        <v>0</v>
      </c>
      <c r="G170" s="32">
        <v>24.999999999999901</v>
      </c>
      <c r="H170" s="32">
        <v>0</v>
      </c>
      <c r="I170" s="32">
        <v>24.999999999999901</v>
      </c>
      <c r="J170" s="39">
        <v>0</v>
      </c>
      <c r="K170" s="39">
        <v>0</v>
      </c>
      <c r="L170" s="39">
        <v>0</v>
      </c>
      <c r="M170" s="40">
        <v>2.4815230462959001</v>
      </c>
      <c r="N170" s="39">
        <v>0</v>
      </c>
      <c r="O170" s="40">
        <v>13.9805279532006</v>
      </c>
      <c r="P170" s="39">
        <v>10</v>
      </c>
      <c r="Q170" s="39">
        <v>5.5922111812802697</v>
      </c>
      <c r="R170" s="39">
        <v>139.80527953200601</v>
      </c>
    </row>
    <row r="171" spans="1:18" hidden="1" x14ac:dyDescent="0.25">
      <c r="A171" s="37" t="s">
        <v>170</v>
      </c>
      <c r="B171" s="32">
        <v>24.999999999999901</v>
      </c>
      <c r="C171" s="38" t="s">
        <v>55</v>
      </c>
      <c r="D171" s="38" t="s">
        <v>157</v>
      </c>
      <c r="E171" s="32">
        <v>0</v>
      </c>
      <c r="F171" s="32">
        <v>0</v>
      </c>
      <c r="G171" s="32">
        <v>24.999999999999901</v>
      </c>
      <c r="H171" s="32">
        <v>0</v>
      </c>
      <c r="I171" s="32">
        <v>24.999999999999901</v>
      </c>
      <c r="J171" s="39">
        <v>0</v>
      </c>
      <c r="K171" s="39">
        <v>0</v>
      </c>
      <c r="L171" s="39">
        <v>0</v>
      </c>
      <c r="M171" s="40">
        <v>2.4815230462959001</v>
      </c>
      <c r="N171" s="39">
        <v>0</v>
      </c>
      <c r="O171" s="40">
        <v>15.0608627752242</v>
      </c>
      <c r="P171" s="39">
        <v>10</v>
      </c>
      <c r="Q171" s="39">
        <v>6.0243451100897003</v>
      </c>
      <c r="R171" s="39">
        <v>150.608627752242</v>
      </c>
    </row>
    <row r="172" spans="1:18" hidden="1" x14ac:dyDescent="0.25">
      <c r="A172" s="37" t="s">
        <v>171</v>
      </c>
      <c r="B172" s="32">
        <v>24.999999999999901</v>
      </c>
      <c r="C172" s="38" t="s">
        <v>55</v>
      </c>
      <c r="D172" s="38" t="s">
        <v>157</v>
      </c>
      <c r="E172" s="32">
        <v>0</v>
      </c>
      <c r="F172" s="32">
        <v>0</v>
      </c>
      <c r="G172" s="32">
        <v>24.999999999999901</v>
      </c>
      <c r="H172" s="32">
        <v>0</v>
      </c>
      <c r="I172" s="32">
        <v>24.999999999999901</v>
      </c>
      <c r="J172" s="39">
        <v>0</v>
      </c>
      <c r="K172" s="39">
        <v>0</v>
      </c>
      <c r="L172" s="39">
        <v>0</v>
      </c>
      <c r="M172" s="40">
        <v>2.4815230462959001</v>
      </c>
      <c r="N172" s="39">
        <v>0</v>
      </c>
      <c r="O172" s="40">
        <v>16.140212689808202</v>
      </c>
      <c r="P172" s="39">
        <v>10</v>
      </c>
      <c r="Q172" s="39">
        <v>6.4560850759232897</v>
      </c>
      <c r="R172" s="39">
        <v>161.402126898082</v>
      </c>
    </row>
    <row r="173" spans="1:18" hidden="1" x14ac:dyDescent="0.25">
      <c r="A173" s="37" t="s">
        <v>172</v>
      </c>
      <c r="B173" s="32">
        <v>24.999999999999901</v>
      </c>
      <c r="C173" s="38" t="s">
        <v>55</v>
      </c>
      <c r="D173" s="38" t="s">
        <v>157</v>
      </c>
      <c r="E173" s="32">
        <v>0</v>
      </c>
      <c r="F173" s="32">
        <v>0</v>
      </c>
      <c r="G173" s="32">
        <v>24.999999999999901</v>
      </c>
      <c r="H173" s="32">
        <v>0</v>
      </c>
      <c r="I173" s="32">
        <v>24.999999999999901</v>
      </c>
      <c r="J173" s="39">
        <v>0</v>
      </c>
      <c r="K173" s="39">
        <v>0</v>
      </c>
      <c r="L173" s="39">
        <v>0</v>
      </c>
      <c r="M173" s="40">
        <v>2.4815230462959001</v>
      </c>
      <c r="N173" s="39">
        <v>0</v>
      </c>
      <c r="O173" s="40">
        <v>17.232016425481198</v>
      </c>
      <c r="P173" s="39">
        <v>10</v>
      </c>
      <c r="Q173" s="39">
        <v>6.8928065701925201</v>
      </c>
      <c r="R173" s="39">
        <v>172.320164254812</v>
      </c>
    </row>
    <row r="174" spans="1:18" hidden="1" x14ac:dyDescent="0.25">
      <c r="A174" s="37" t="s">
        <v>173</v>
      </c>
      <c r="B174" s="32">
        <v>24.999999999999901</v>
      </c>
      <c r="C174" s="38" t="s">
        <v>55</v>
      </c>
      <c r="D174" s="38" t="s">
        <v>157</v>
      </c>
      <c r="E174" s="32">
        <v>0</v>
      </c>
      <c r="F174" s="32">
        <v>0</v>
      </c>
      <c r="G174" s="32">
        <v>24.999999999999901</v>
      </c>
      <c r="H174" s="32">
        <v>0</v>
      </c>
      <c r="I174" s="32">
        <v>24.999999999999901</v>
      </c>
      <c r="J174" s="39">
        <v>0</v>
      </c>
      <c r="K174" s="39">
        <v>0</v>
      </c>
      <c r="L174" s="39">
        <v>0</v>
      </c>
      <c r="M174" s="40">
        <v>2.4815126550922</v>
      </c>
      <c r="N174" s="39">
        <v>0</v>
      </c>
      <c r="O174" s="40">
        <v>18.331601214349998</v>
      </c>
      <c r="P174" s="39">
        <v>10</v>
      </c>
      <c r="Q174" s="39">
        <v>7.3326404857400203</v>
      </c>
      <c r="R174" s="39">
        <v>183.31601214349999</v>
      </c>
    </row>
    <row r="175" spans="1:18" hidden="1" x14ac:dyDescent="0.25">
      <c r="A175" s="37" t="s">
        <v>174</v>
      </c>
      <c r="B175" s="32">
        <v>24.999999999999901</v>
      </c>
      <c r="C175" s="38" t="s">
        <v>55</v>
      </c>
      <c r="D175" s="38" t="s">
        <v>157</v>
      </c>
      <c r="E175" s="32">
        <v>0</v>
      </c>
      <c r="F175" s="32">
        <v>0</v>
      </c>
      <c r="G175" s="32">
        <v>24.999999999999901</v>
      </c>
      <c r="H175" s="32">
        <v>0</v>
      </c>
      <c r="I175" s="32">
        <v>24.999999999999901</v>
      </c>
      <c r="J175" s="39">
        <v>0</v>
      </c>
      <c r="K175" s="39">
        <v>0</v>
      </c>
      <c r="L175" s="39">
        <v>0</v>
      </c>
      <c r="M175" s="40">
        <v>2.48150226388849</v>
      </c>
      <c r="N175" s="39">
        <v>0</v>
      </c>
      <c r="O175" s="40">
        <v>19.4144599863331</v>
      </c>
      <c r="P175" s="39">
        <v>10</v>
      </c>
      <c r="Q175" s="39">
        <v>7.7657839945332698</v>
      </c>
      <c r="R175" s="39">
        <v>194.144599863331</v>
      </c>
    </row>
    <row r="176" spans="1:18" hidden="1" x14ac:dyDescent="0.25">
      <c r="A176" s="37" t="s">
        <v>175</v>
      </c>
      <c r="B176" s="32">
        <v>24.999999999999901</v>
      </c>
      <c r="C176" s="38" t="s">
        <v>55</v>
      </c>
      <c r="D176" s="38" t="s">
        <v>157</v>
      </c>
      <c r="E176" s="32">
        <v>0</v>
      </c>
      <c r="F176" s="32">
        <v>0</v>
      </c>
      <c r="G176" s="32">
        <v>7.3026073454674503</v>
      </c>
      <c r="H176" s="32">
        <v>17.6973926545325</v>
      </c>
      <c r="I176" s="32">
        <v>24.999999999999901</v>
      </c>
      <c r="J176" s="39">
        <v>0</v>
      </c>
      <c r="K176" s="39">
        <v>0</v>
      </c>
      <c r="L176" s="39">
        <v>0</v>
      </c>
      <c r="M176" s="40">
        <v>2.48150226388849</v>
      </c>
      <c r="N176" s="39">
        <v>0</v>
      </c>
      <c r="O176" s="40">
        <v>20.468693382468</v>
      </c>
      <c r="P176" s="39">
        <v>10</v>
      </c>
      <c r="Q176" s="39">
        <v>8.18747735298723</v>
      </c>
      <c r="R176" s="39">
        <v>204.68693382468001</v>
      </c>
    </row>
    <row r="177" spans="1:18" hidden="1" x14ac:dyDescent="0.25">
      <c r="A177" s="37" t="s">
        <v>176</v>
      </c>
      <c r="B177" s="32">
        <v>24.999999999999901</v>
      </c>
      <c r="C177" s="38" t="s">
        <v>55</v>
      </c>
      <c r="D177" s="38" t="s">
        <v>157</v>
      </c>
      <c r="E177" s="32">
        <v>0</v>
      </c>
      <c r="F177" s="32">
        <v>0</v>
      </c>
      <c r="G177" s="32">
        <v>0</v>
      </c>
      <c r="H177" s="32">
        <v>24.999999999999901</v>
      </c>
      <c r="I177" s="32">
        <v>24.999999999999901</v>
      </c>
      <c r="J177" s="39">
        <v>0</v>
      </c>
      <c r="K177" s="39">
        <v>0</v>
      </c>
      <c r="L177" s="39">
        <v>0</v>
      </c>
      <c r="M177" s="40">
        <v>2.48150226388849</v>
      </c>
      <c r="N177" s="39">
        <v>0</v>
      </c>
      <c r="O177" s="40">
        <v>21.421410628777501</v>
      </c>
      <c r="P177" s="39">
        <v>10</v>
      </c>
      <c r="Q177" s="39">
        <v>8.5685642515110292</v>
      </c>
      <c r="R177" s="39">
        <v>214.214106287775</v>
      </c>
    </row>
    <row r="178" spans="1:18" hidden="1" x14ac:dyDescent="0.25">
      <c r="A178" s="37" t="s">
        <v>177</v>
      </c>
      <c r="B178" s="32">
        <v>24.999999999999901</v>
      </c>
      <c r="C178" s="38" t="s">
        <v>55</v>
      </c>
      <c r="D178" s="38" t="s">
        <v>157</v>
      </c>
      <c r="E178" s="32">
        <v>0</v>
      </c>
      <c r="F178" s="32">
        <v>0</v>
      </c>
      <c r="G178" s="32">
        <v>0</v>
      </c>
      <c r="H178" s="32">
        <v>24.999999999999901</v>
      </c>
      <c r="I178" s="32">
        <v>24.999999999999901</v>
      </c>
      <c r="J178" s="39">
        <v>0</v>
      </c>
      <c r="K178" s="39">
        <v>0</v>
      </c>
      <c r="L178" s="39">
        <v>0</v>
      </c>
      <c r="M178" s="40">
        <v>2.4814918726847899</v>
      </c>
      <c r="N178" s="39">
        <v>0</v>
      </c>
      <c r="O178" s="40">
        <v>21.3867739174764</v>
      </c>
      <c r="P178" s="39">
        <v>10</v>
      </c>
      <c r="Q178" s="39">
        <v>8.5547095669905797</v>
      </c>
      <c r="R178" s="39">
        <v>213.86773917476401</v>
      </c>
    </row>
    <row r="179" spans="1:18" hidden="1" x14ac:dyDescent="0.25">
      <c r="A179" s="37" t="s">
        <v>178</v>
      </c>
      <c r="B179" s="32">
        <v>12.1843836237095</v>
      </c>
      <c r="C179" s="38" t="s">
        <v>55</v>
      </c>
      <c r="D179" s="38" t="s">
        <v>157</v>
      </c>
      <c r="E179" s="32">
        <v>0</v>
      </c>
      <c r="F179" s="32">
        <v>0</v>
      </c>
      <c r="G179" s="32">
        <v>8.7576061432136303</v>
      </c>
      <c r="H179" s="32">
        <v>3.42677748049586</v>
      </c>
      <c r="I179" s="32">
        <v>12.1843836237095</v>
      </c>
      <c r="J179" s="39">
        <v>0</v>
      </c>
      <c r="K179" s="39">
        <v>0</v>
      </c>
      <c r="L179" s="39">
        <v>0</v>
      </c>
      <c r="M179" s="40">
        <v>1.2094230218528399</v>
      </c>
      <c r="N179" s="39">
        <v>0</v>
      </c>
      <c r="O179" s="40">
        <v>8.9818702238763208</v>
      </c>
      <c r="P179" s="39">
        <v>10</v>
      </c>
      <c r="Q179" s="39">
        <v>7.3716246149691003</v>
      </c>
      <c r="R179" s="39">
        <v>89.818702238763194</v>
      </c>
    </row>
    <row r="180" spans="1:18" hidden="1" x14ac:dyDescent="0.25">
      <c r="A180" s="37" t="s">
        <v>179</v>
      </c>
      <c r="B180" s="32">
        <v>2.4999999999999698</v>
      </c>
      <c r="C180" s="38" t="s">
        <v>55</v>
      </c>
      <c r="D180" s="38" t="s">
        <v>157</v>
      </c>
      <c r="E180" s="32">
        <v>0</v>
      </c>
      <c r="F180" s="32">
        <v>0</v>
      </c>
      <c r="G180" s="32">
        <v>2.4999999999999698</v>
      </c>
      <c r="H180" s="32">
        <v>0</v>
      </c>
      <c r="I180" s="32">
        <v>2.4999999999999698</v>
      </c>
      <c r="J180" s="39">
        <v>0</v>
      </c>
      <c r="K180" s="39">
        <v>0</v>
      </c>
      <c r="L180" s="39">
        <v>0</v>
      </c>
      <c r="M180" s="40">
        <v>0.40324489722215501</v>
      </c>
      <c r="N180" s="39">
        <v>0</v>
      </c>
      <c r="O180" s="40">
        <v>3.2974536361213498</v>
      </c>
      <c r="P180" s="39">
        <v>10</v>
      </c>
      <c r="Q180" s="39">
        <v>13.1898145444856</v>
      </c>
      <c r="R180" s="39">
        <v>32.974536361213502</v>
      </c>
    </row>
    <row r="181" spans="1:18" hidden="1" x14ac:dyDescent="0.25">
      <c r="A181" s="37" t="s">
        <v>180</v>
      </c>
      <c r="B181" s="32">
        <v>4.4999999999999503</v>
      </c>
      <c r="C181" s="38" t="s">
        <v>55</v>
      </c>
      <c r="D181" s="38" t="s">
        <v>157</v>
      </c>
      <c r="E181" s="32">
        <v>0</v>
      </c>
      <c r="F181" s="32">
        <v>0</v>
      </c>
      <c r="G181" s="32">
        <v>4.4999999999999503</v>
      </c>
      <c r="H181" s="32">
        <v>0</v>
      </c>
      <c r="I181" s="32">
        <v>4.4999999999999503</v>
      </c>
      <c r="J181" s="39">
        <v>0</v>
      </c>
      <c r="K181" s="39">
        <v>0</v>
      </c>
      <c r="L181" s="39">
        <v>0</v>
      </c>
      <c r="M181" s="40">
        <v>1.0050074816665</v>
      </c>
      <c r="N181" s="39">
        <v>0</v>
      </c>
      <c r="O181" s="40">
        <v>9.0014741525193696</v>
      </c>
      <c r="P181" s="39">
        <v>10</v>
      </c>
      <c r="Q181" s="39">
        <v>20.0032758944877</v>
      </c>
      <c r="R181" s="39">
        <v>90.014741525193799</v>
      </c>
    </row>
    <row r="182" spans="1:18" hidden="1" x14ac:dyDescent="0.25">
      <c r="A182" s="37" t="s">
        <v>181</v>
      </c>
      <c r="B182" s="32">
        <v>0</v>
      </c>
      <c r="C182" s="38" t="s">
        <v>55</v>
      </c>
      <c r="D182" s="38" t="s">
        <v>157</v>
      </c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</row>
    <row r="183" spans="1:18" x14ac:dyDescent="0.25">
      <c r="A183" s="42" t="s">
        <v>37</v>
      </c>
      <c r="B183" s="43">
        <v>369.18438362370802</v>
      </c>
      <c r="C183" s="44" t="s">
        <v>55</v>
      </c>
      <c r="D183" s="44" t="s">
        <v>157</v>
      </c>
      <c r="E183" s="45">
        <f>SUM(E158:E181)</f>
        <v>0</v>
      </c>
      <c r="F183" s="45">
        <f>SUM(F158:F181)</f>
        <v>9.4148368617589995</v>
      </c>
      <c r="G183" s="45">
        <f>SUM(G158:G181)</f>
        <v>288.64537662692078</v>
      </c>
      <c r="H183" s="45">
        <f>SUM(H158:H181)</f>
        <v>71.124170135028166</v>
      </c>
      <c r="I183" s="45">
        <f>SUM(I158:I181)</f>
        <v>369.18438362370784</v>
      </c>
      <c r="J183" s="46">
        <v>0</v>
      </c>
      <c r="K183" s="46">
        <v>0</v>
      </c>
      <c r="L183" s="46">
        <v>0</v>
      </c>
      <c r="M183" s="47">
        <f>SUM(M158:M181)</f>
        <v>38.699347288252362</v>
      </c>
      <c r="N183" s="48">
        <f>(N158)</f>
        <v>0</v>
      </c>
      <c r="O183" s="47">
        <f>SUM(O158:O181)</f>
        <v>252.14691657588122</v>
      </c>
      <c r="P183" s="48">
        <f>(P158)</f>
        <v>10</v>
      </c>
      <c r="Q183" s="48">
        <f>(R183/B183)</f>
        <v>6.8298370072143291</v>
      </c>
      <c r="R183" s="48">
        <f>SUM(R158:R181)</f>
        <v>2521.4691657588128</v>
      </c>
    </row>
    <row r="185" spans="1:18" x14ac:dyDescent="0.25">
      <c r="A185" s="21" t="s">
        <v>1</v>
      </c>
      <c r="B185" s="27" t="s">
        <v>1</v>
      </c>
      <c r="C185" s="27" t="s">
        <v>1</v>
      </c>
      <c r="D185" s="27" t="s">
        <v>1</v>
      </c>
      <c r="E185" s="27" t="s">
        <v>1</v>
      </c>
      <c r="F185" s="27" t="s">
        <v>1</v>
      </c>
      <c r="G185" s="27" t="s">
        <v>1</v>
      </c>
      <c r="H185" s="27" t="s">
        <v>1</v>
      </c>
      <c r="I185" s="27" t="s">
        <v>1</v>
      </c>
      <c r="J185" s="27" t="s">
        <v>1</v>
      </c>
      <c r="K185" s="27" t="s">
        <v>1</v>
      </c>
      <c r="L185" s="27" t="s">
        <v>1</v>
      </c>
      <c r="M185" s="27" t="s">
        <v>1</v>
      </c>
      <c r="N185" s="27" t="s">
        <v>1</v>
      </c>
      <c r="O185" s="27" t="s">
        <v>1</v>
      </c>
      <c r="P185" s="27" t="s">
        <v>1</v>
      </c>
      <c r="Q185" s="27" t="s">
        <v>1</v>
      </c>
      <c r="R185" s="26" t="s">
        <v>1</v>
      </c>
    </row>
    <row r="186" spans="1:18" x14ac:dyDescent="0.25">
      <c r="A186" s="24" t="s">
        <v>182</v>
      </c>
      <c r="B186" s="20" t="s">
        <v>182</v>
      </c>
      <c r="C186" s="20" t="s">
        <v>182</v>
      </c>
      <c r="D186" s="20" t="s">
        <v>182</v>
      </c>
      <c r="E186" s="20" t="s">
        <v>182</v>
      </c>
      <c r="F186" s="20" t="s">
        <v>182</v>
      </c>
      <c r="G186" s="20" t="s">
        <v>182</v>
      </c>
      <c r="H186" s="20" t="s">
        <v>182</v>
      </c>
      <c r="I186" s="20" t="s">
        <v>182</v>
      </c>
      <c r="J186" s="20" t="s">
        <v>182</v>
      </c>
      <c r="K186" s="20" t="s">
        <v>182</v>
      </c>
      <c r="L186" s="20" t="s">
        <v>182</v>
      </c>
      <c r="M186" s="20" t="s">
        <v>182</v>
      </c>
      <c r="N186" s="20" t="s">
        <v>182</v>
      </c>
      <c r="O186" s="20" t="s">
        <v>182</v>
      </c>
      <c r="P186" s="20" t="s">
        <v>182</v>
      </c>
      <c r="Q186" s="20" t="s">
        <v>182</v>
      </c>
      <c r="R186" s="23" t="s">
        <v>182</v>
      </c>
    </row>
    <row r="187" spans="1:18" x14ac:dyDescent="0.25">
      <c r="A187" s="19" t="s">
        <v>14</v>
      </c>
      <c r="B187" s="19" t="s">
        <v>15</v>
      </c>
      <c r="C187" s="19" t="s">
        <v>4</v>
      </c>
      <c r="D187" s="17" t="s">
        <v>16</v>
      </c>
      <c r="E187" s="15" t="s">
        <v>17</v>
      </c>
      <c r="F187" s="15" t="s">
        <v>17</v>
      </c>
      <c r="G187" s="15" t="s">
        <v>17</v>
      </c>
      <c r="H187" s="15" t="s">
        <v>17</v>
      </c>
      <c r="I187" s="15" t="s">
        <v>17</v>
      </c>
      <c r="J187" s="15" t="s">
        <v>18</v>
      </c>
      <c r="K187" s="15" t="s">
        <v>18</v>
      </c>
      <c r="L187" s="17" t="s">
        <v>18</v>
      </c>
      <c r="M187" s="14" t="s">
        <v>19</v>
      </c>
      <c r="N187" s="15" t="s">
        <v>19</v>
      </c>
      <c r="O187" s="14" t="s">
        <v>20</v>
      </c>
      <c r="P187" s="15" t="s">
        <v>20</v>
      </c>
      <c r="Q187" s="17" t="s">
        <v>21</v>
      </c>
      <c r="R187" s="17" t="s">
        <v>22</v>
      </c>
    </row>
    <row r="188" spans="1:18" x14ac:dyDescent="0.25">
      <c r="A188" s="18" t="s">
        <v>14</v>
      </c>
      <c r="B188" s="18" t="s">
        <v>15</v>
      </c>
      <c r="C188" s="18" t="s">
        <v>4</v>
      </c>
      <c r="D188" s="16" t="s">
        <v>16</v>
      </c>
      <c r="E188" s="35" t="s">
        <v>23</v>
      </c>
      <c r="F188" s="35" t="s">
        <v>24</v>
      </c>
      <c r="G188" s="35" t="s">
        <v>25</v>
      </c>
      <c r="H188" s="35" t="s">
        <v>26</v>
      </c>
      <c r="I188" s="36" t="s">
        <v>11</v>
      </c>
      <c r="J188" s="35" t="s">
        <v>24</v>
      </c>
      <c r="K188" s="35" t="s">
        <v>25</v>
      </c>
      <c r="L188" s="16" t="s">
        <v>18</v>
      </c>
      <c r="M188" s="35" t="s">
        <v>27</v>
      </c>
      <c r="N188" s="35" t="s">
        <v>28</v>
      </c>
      <c r="O188" s="35" t="s">
        <v>27</v>
      </c>
      <c r="P188" s="35" t="s">
        <v>28</v>
      </c>
      <c r="Q188" s="16" t="s">
        <v>21</v>
      </c>
      <c r="R188" s="16" t="s">
        <v>22</v>
      </c>
    </row>
    <row r="189" spans="1:18" hidden="1" x14ac:dyDescent="0.25">
      <c r="A189" s="37" t="s">
        <v>183</v>
      </c>
      <c r="B189" s="32">
        <v>5.4999929999999804</v>
      </c>
      <c r="C189" s="38" t="s">
        <v>55</v>
      </c>
      <c r="D189" s="38" t="s">
        <v>184</v>
      </c>
      <c r="E189" s="32">
        <v>5.4999929999999804</v>
      </c>
      <c r="F189" s="49" t="s">
        <v>185</v>
      </c>
      <c r="G189" s="49" t="s">
        <v>185</v>
      </c>
      <c r="H189" s="49" t="s">
        <v>185</v>
      </c>
      <c r="I189" s="32">
        <v>5.4999929999999804</v>
      </c>
      <c r="J189" s="39">
        <v>0</v>
      </c>
      <c r="K189" s="39">
        <v>0</v>
      </c>
      <c r="L189" s="39">
        <v>0</v>
      </c>
      <c r="M189" s="40">
        <v>0</v>
      </c>
      <c r="N189" s="39">
        <v>0</v>
      </c>
      <c r="O189" s="40">
        <v>0</v>
      </c>
      <c r="P189" s="39">
        <v>10</v>
      </c>
      <c r="Q189" s="39">
        <v>0</v>
      </c>
      <c r="R189" s="39">
        <v>0</v>
      </c>
    </row>
    <row r="190" spans="1:18" hidden="1" x14ac:dyDescent="0.25">
      <c r="A190" s="37" t="s">
        <v>186</v>
      </c>
      <c r="B190" s="32">
        <v>3.4999929999999999</v>
      </c>
      <c r="C190" s="38" t="s">
        <v>55</v>
      </c>
      <c r="D190" s="38" t="s">
        <v>184</v>
      </c>
      <c r="E190" s="32">
        <v>3.4999929999999999</v>
      </c>
      <c r="F190" s="49" t="s">
        <v>185</v>
      </c>
      <c r="G190" s="49" t="s">
        <v>185</v>
      </c>
      <c r="H190" s="49" t="s">
        <v>185</v>
      </c>
      <c r="I190" s="32">
        <v>3.4999929999999999</v>
      </c>
      <c r="J190" s="39">
        <v>0</v>
      </c>
      <c r="K190" s="39">
        <v>0</v>
      </c>
      <c r="L190" s="39">
        <v>0</v>
      </c>
      <c r="M190" s="40">
        <v>0</v>
      </c>
      <c r="N190" s="39">
        <v>0</v>
      </c>
      <c r="O190" s="40">
        <v>0</v>
      </c>
      <c r="P190" s="39">
        <v>10</v>
      </c>
      <c r="Q190" s="39">
        <v>0</v>
      </c>
      <c r="R190" s="39">
        <v>0</v>
      </c>
    </row>
    <row r="191" spans="1:18" hidden="1" x14ac:dyDescent="0.25">
      <c r="A191" s="37" t="s">
        <v>187</v>
      </c>
      <c r="B191" s="32">
        <v>16.000013999999901</v>
      </c>
      <c r="C191" s="38" t="s">
        <v>55</v>
      </c>
      <c r="D191" s="38" t="s">
        <v>184</v>
      </c>
      <c r="E191" s="32">
        <v>16.000013999999901</v>
      </c>
      <c r="F191" s="49" t="s">
        <v>185</v>
      </c>
      <c r="G191" s="49" t="s">
        <v>185</v>
      </c>
      <c r="H191" s="49" t="s">
        <v>185</v>
      </c>
      <c r="I191" s="32">
        <v>16.000013999999901</v>
      </c>
      <c r="J191" s="39">
        <v>0</v>
      </c>
      <c r="K191" s="39">
        <v>0</v>
      </c>
      <c r="L191" s="39">
        <v>0</v>
      </c>
      <c r="M191" s="40">
        <v>0</v>
      </c>
      <c r="N191" s="39">
        <v>0</v>
      </c>
      <c r="O191" s="40">
        <v>0</v>
      </c>
      <c r="P191" s="39">
        <v>10</v>
      </c>
      <c r="Q191" s="39">
        <v>0</v>
      </c>
      <c r="R191" s="39">
        <v>0</v>
      </c>
    </row>
    <row r="192" spans="1:18" hidden="1" x14ac:dyDescent="0.25">
      <c r="A192" s="37" t="s">
        <v>188</v>
      </c>
      <c r="B192" s="32">
        <v>24.999999999999901</v>
      </c>
      <c r="C192" s="38" t="s">
        <v>55</v>
      </c>
      <c r="D192" s="38" t="s">
        <v>184</v>
      </c>
      <c r="E192" s="32">
        <v>24.999999999999901</v>
      </c>
      <c r="F192" s="49" t="s">
        <v>185</v>
      </c>
      <c r="G192" s="49" t="s">
        <v>185</v>
      </c>
      <c r="H192" s="49" t="s">
        <v>185</v>
      </c>
      <c r="I192" s="32">
        <v>24.999999999999901</v>
      </c>
      <c r="J192" s="39">
        <v>0</v>
      </c>
      <c r="K192" s="39">
        <v>0</v>
      </c>
      <c r="L192" s="39">
        <v>0</v>
      </c>
      <c r="M192" s="40">
        <v>0</v>
      </c>
      <c r="N192" s="39">
        <v>0</v>
      </c>
      <c r="O192" s="40">
        <v>0</v>
      </c>
      <c r="P192" s="39">
        <v>10</v>
      </c>
      <c r="Q192" s="39">
        <v>0</v>
      </c>
      <c r="R192" s="39">
        <v>0</v>
      </c>
    </row>
    <row r="193" spans="1:18" hidden="1" x14ac:dyDescent="0.25">
      <c r="A193" s="37" t="s">
        <v>189</v>
      </c>
      <c r="B193" s="32">
        <v>25.000000000000099</v>
      </c>
      <c r="C193" s="38" t="s">
        <v>55</v>
      </c>
      <c r="D193" s="38" t="s">
        <v>184</v>
      </c>
      <c r="E193" s="32">
        <v>25.000000000000099</v>
      </c>
      <c r="F193" s="49" t="s">
        <v>185</v>
      </c>
      <c r="G193" s="49" t="s">
        <v>185</v>
      </c>
      <c r="H193" s="49" t="s">
        <v>185</v>
      </c>
      <c r="I193" s="32">
        <v>25.000000000000099</v>
      </c>
      <c r="J193" s="39">
        <v>0</v>
      </c>
      <c r="K193" s="39">
        <v>0</v>
      </c>
      <c r="L193" s="39">
        <v>0</v>
      </c>
      <c r="M193" s="40">
        <v>0</v>
      </c>
      <c r="N193" s="39">
        <v>0</v>
      </c>
      <c r="O193" s="40">
        <v>0</v>
      </c>
      <c r="P193" s="39">
        <v>10</v>
      </c>
      <c r="Q193" s="39">
        <v>0</v>
      </c>
      <c r="R193" s="39">
        <v>0</v>
      </c>
    </row>
    <row r="194" spans="1:18" hidden="1" x14ac:dyDescent="0.25">
      <c r="A194" s="37" t="s">
        <v>190</v>
      </c>
      <c r="B194" s="32">
        <v>19.2602142037187</v>
      </c>
      <c r="C194" s="38" t="s">
        <v>55</v>
      </c>
      <c r="D194" s="38" t="s">
        <v>184</v>
      </c>
      <c r="E194" s="32">
        <v>19.2602142037187</v>
      </c>
      <c r="F194" s="49" t="s">
        <v>185</v>
      </c>
      <c r="G194" s="49" t="s">
        <v>185</v>
      </c>
      <c r="H194" s="49" t="s">
        <v>185</v>
      </c>
      <c r="I194" s="32">
        <v>19.2602142037187</v>
      </c>
      <c r="J194" s="39">
        <v>0</v>
      </c>
      <c r="K194" s="39">
        <v>0</v>
      </c>
      <c r="L194" s="39">
        <v>0</v>
      </c>
      <c r="M194" s="40">
        <v>0</v>
      </c>
      <c r="N194" s="39">
        <v>0</v>
      </c>
      <c r="O194" s="40">
        <v>0</v>
      </c>
      <c r="P194" s="39">
        <v>10</v>
      </c>
      <c r="Q194" s="39">
        <v>0</v>
      </c>
      <c r="R194" s="39">
        <v>0</v>
      </c>
    </row>
    <row r="195" spans="1:18" hidden="1" x14ac:dyDescent="0.25">
      <c r="A195" s="37" t="s">
        <v>191</v>
      </c>
      <c r="B195" s="32">
        <v>3.4999929999998201</v>
      </c>
      <c r="C195" s="38" t="s">
        <v>55</v>
      </c>
      <c r="D195" s="38" t="s">
        <v>184</v>
      </c>
      <c r="E195" s="32">
        <v>3.4999929999998201</v>
      </c>
      <c r="F195" s="49" t="s">
        <v>185</v>
      </c>
      <c r="G195" s="49" t="s">
        <v>185</v>
      </c>
      <c r="H195" s="49" t="s">
        <v>185</v>
      </c>
      <c r="I195" s="32">
        <v>3.4999929999998201</v>
      </c>
      <c r="J195" s="39">
        <v>0</v>
      </c>
      <c r="K195" s="39">
        <v>0</v>
      </c>
      <c r="L195" s="39">
        <v>0</v>
      </c>
      <c r="M195" s="40">
        <v>0.40846238375337901</v>
      </c>
      <c r="N195" s="39">
        <v>0</v>
      </c>
      <c r="O195" s="40">
        <v>3.54789825372981</v>
      </c>
      <c r="P195" s="39">
        <v>10</v>
      </c>
      <c r="Q195" s="39">
        <v>10.1368724272591</v>
      </c>
      <c r="R195" s="39">
        <v>35.478982537298101</v>
      </c>
    </row>
    <row r="196" spans="1:18" hidden="1" x14ac:dyDescent="0.25">
      <c r="A196" s="37" t="s">
        <v>192</v>
      </c>
      <c r="B196" s="32">
        <v>2.23979279628161</v>
      </c>
      <c r="C196" s="38" t="s">
        <v>55</v>
      </c>
      <c r="D196" s="38" t="s">
        <v>184</v>
      </c>
      <c r="E196" s="32">
        <v>0</v>
      </c>
      <c r="F196" s="32">
        <v>0</v>
      </c>
      <c r="G196" s="32">
        <v>2.23979279628161</v>
      </c>
      <c r="H196" s="32">
        <v>0</v>
      </c>
      <c r="I196" s="32">
        <v>2.23979279628161</v>
      </c>
      <c r="J196" s="39">
        <v>0</v>
      </c>
      <c r="K196" s="39">
        <v>0</v>
      </c>
      <c r="L196" s="39">
        <v>0</v>
      </c>
      <c r="M196" s="40">
        <v>0.56708397889881001</v>
      </c>
      <c r="N196" s="39">
        <v>0</v>
      </c>
      <c r="O196" s="40">
        <v>4.6420621191705704</v>
      </c>
      <c r="P196" s="39">
        <v>10</v>
      </c>
      <c r="Q196" s="39">
        <v>20.725408738152499</v>
      </c>
      <c r="R196" s="39">
        <v>46.420621191705699</v>
      </c>
    </row>
    <row r="197" spans="1:18" hidden="1" x14ac:dyDescent="0.25">
      <c r="A197" s="37" t="s">
        <v>193</v>
      </c>
      <c r="B197" s="32">
        <v>3.26020020371856</v>
      </c>
      <c r="C197" s="38" t="s">
        <v>55</v>
      </c>
      <c r="D197" s="38" t="s">
        <v>184</v>
      </c>
      <c r="E197" s="32">
        <v>0</v>
      </c>
      <c r="F197" s="32">
        <v>0</v>
      </c>
      <c r="G197" s="32">
        <v>3.26020020371856</v>
      </c>
      <c r="H197" s="32">
        <v>0</v>
      </c>
      <c r="I197" s="32">
        <v>3.26020020371856</v>
      </c>
      <c r="J197" s="39">
        <v>0</v>
      </c>
      <c r="K197" s="39">
        <v>0</v>
      </c>
      <c r="L197" s="39">
        <v>0</v>
      </c>
      <c r="M197" s="40">
        <v>0.90762733808172302</v>
      </c>
      <c r="N197" s="39">
        <v>0</v>
      </c>
      <c r="O197" s="40">
        <v>7.0272771091039301</v>
      </c>
      <c r="P197" s="39">
        <v>10</v>
      </c>
      <c r="Q197" s="39">
        <v>21.554741028138899</v>
      </c>
      <c r="R197" s="39">
        <v>70.272771091039303</v>
      </c>
    </row>
    <row r="198" spans="1:18" hidden="1" x14ac:dyDescent="0.25">
      <c r="A198" s="37" t="s">
        <v>194</v>
      </c>
      <c r="B198" s="32">
        <v>5.4999930000001704</v>
      </c>
      <c r="C198" s="38" t="s">
        <v>55</v>
      </c>
      <c r="D198" s="38" t="s">
        <v>184</v>
      </c>
      <c r="E198" s="32">
        <v>0</v>
      </c>
      <c r="F198" s="32">
        <v>0</v>
      </c>
      <c r="G198" s="32">
        <v>5.4999930000001704</v>
      </c>
      <c r="H198" s="32">
        <v>0</v>
      </c>
      <c r="I198" s="32">
        <v>5.4999930000001704</v>
      </c>
      <c r="J198" s="39">
        <v>0</v>
      </c>
      <c r="K198" s="39">
        <v>0</v>
      </c>
      <c r="L198" s="39">
        <v>0</v>
      </c>
      <c r="M198" s="40">
        <v>1.53117713457121</v>
      </c>
      <c r="N198" s="39">
        <v>0</v>
      </c>
      <c r="O198" s="40">
        <v>12.0414965920155</v>
      </c>
      <c r="P198" s="39">
        <v>10</v>
      </c>
      <c r="Q198" s="39">
        <v>21.893658031955901</v>
      </c>
      <c r="R198" s="39">
        <v>120.414965920155</v>
      </c>
    </row>
    <row r="199" spans="1:18" hidden="1" x14ac:dyDescent="0.25">
      <c r="A199" s="37" t="s">
        <v>195</v>
      </c>
      <c r="B199" s="32">
        <v>3.4999929999998201</v>
      </c>
      <c r="C199" s="38" t="s">
        <v>55</v>
      </c>
      <c r="D199" s="38" t="s">
        <v>184</v>
      </c>
      <c r="E199" s="32">
        <v>0</v>
      </c>
      <c r="F199" s="32">
        <v>0</v>
      </c>
      <c r="G199" s="32">
        <v>3.4999929999998201</v>
      </c>
      <c r="H199" s="32">
        <v>0</v>
      </c>
      <c r="I199" s="32">
        <v>3.4999929999998201</v>
      </c>
      <c r="J199" s="39">
        <v>0</v>
      </c>
      <c r="K199" s="39">
        <v>0</v>
      </c>
      <c r="L199" s="39">
        <v>0</v>
      </c>
      <c r="M199" s="40">
        <v>0.65139279721166399</v>
      </c>
      <c r="N199" s="39">
        <v>0</v>
      </c>
      <c r="O199" s="40">
        <v>4.86956014874053</v>
      </c>
      <c r="P199" s="39">
        <v>10</v>
      </c>
      <c r="Q199" s="39">
        <v>13.9130568225159</v>
      </c>
      <c r="R199" s="39">
        <v>48.695601487405298</v>
      </c>
    </row>
    <row r="200" spans="1:18" hidden="1" x14ac:dyDescent="0.25">
      <c r="A200" s="37" t="s">
        <v>196</v>
      </c>
      <c r="B200" s="32">
        <v>12.7398137962816</v>
      </c>
      <c r="C200" s="38" t="s">
        <v>55</v>
      </c>
      <c r="D200" s="38" t="s">
        <v>184</v>
      </c>
      <c r="E200" s="32">
        <v>0</v>
      </c>
      <c r="F200" s="32">
        <v>0</v>
      </c>
      <c r="G200" s="32">
        <v>9.7179140894272802</v>
      </c>
      <c r="H200" s="32">
        <v>3.0218997068542701</v>
      </c>
      <c r="I200" s="32">
        <v>12.7398137962816</v>
      </c>
      <c r="J200" s="39">
        <v>0</v>
      </c>
      <c r="K200" s="39">
        <v>0</v>
      </c>
      <c r="L200" s="39">
        <v>0</v>
      </c>
      <c r="M200" s="40">
        <v>1.2645550710796301</v>
      </c>
      <c r="N200" s="39">
        <v>0</v>
      </c>
      <c r="O200" s="40">
        <v>9.1975673660954804</v>
      </c>
      <c r="P200" s="39">
        <v>10</v>
      </c>
      <c r="Q200" s="39">
        <v>7.2195461512789398</v>
      </c>
      <c r="R200" s="39">
        <v>91.975673660954797</v>
      </c>
    </row>
    <row r="201" spans="1:18" hidden="1" x14ac:dyDescent="0.25">
      <c r="A201" s="37" t="s">
        <v>197</v>
      </c>
      <c r="B201" s="32">
        <v>1.24792289165782</v>
      </c>
      <c r="C201" s="38" t="s">
        <v>55</v>
      </c>
      <c r="D201" s="38" t="s">
        <v>184</v>
      </c>
      <c r="E201" s="32">
        <v>0</v>
      </c>
      <c r="F201" s="32">
        <v>0</v>
      </c>
      <c r="G201" s="32">
        <v>0</v>
      </c>
      <c r="H201" s="32">
        <v>1.24792289165782</v>
      </c>
      <c r="I201" s="32">
        <v>1.24792289165782</v>
      </c>
      <c r="J201" s="39">
        <v>0</v>
      </c>
      <c r="K201" s="39">
        <v>0</v>
      </c>
      <c r="L201" s="39">
        <v>0</v>
      </c>
      <c r="M201" s="40">
        <v>0.123867901838608</v>
      </c>
      <c r="N201" s="39">
        <v>0</v>
      </c>
      <c r="O201" s="40">
        <v>1.05582585881534</v>
      </c>
      <c r="P201" s="39">
        <v>10</v>
      </c>
      <c r="Q201" s="39">
        <v>8.4606658462103894</v>
      </c>
      <c r="R201" s="39">
        <v>10.5582585881534</v>
      </c>
    </row>
    <row r="202" spans="1:18" hidden="1" x14ac:dyDescent="0.25">
      <c r="A202" s="37" t="s">
        <v>198</v>
      </c>
      <c r="B202" s="32">
        <v>3.4999929999998201</v>
      </c>
      <c r="C202" s="38" t="s">
        <v>55</v>
      </c>
      <c r="D202" s="38" t="s">
        <v>184</v>
      </c>
      <c r="E202" s="32">
        <v>0</v>
      </c>
      <c r="F202" s="32">
        <v>0</v>
      </c>
      <c r="G202" s="32">
        <v>0</v>
      </c>
      <c r="H202" s="32">
        <v>3.4999929999998201</v>
      </c>
      <c r="I202" s="32">
        <v>3.4999929999998201</v>
      </c>
      <c r="J202" s="39">
        <v>0</v>
      </c>
      <c r="K202" s="39">
        <v>0</v>
      </c>
      <c r="L202" s="39">
        <v>0</v>
      </c>
      <c r="M202" s="40">
        <v>0.65138697814922797</v>
      </c>
      <c r="N202" s="39">
        <v>0</v>
      </c>
      <c r="O202" s="40">
        <v>6.5421751861084099</v>
      </c>
      <c r="P202" s="39">
        <v>10</v>
      </c>
      <c r="Q202" s="39">
        <v>18.6919664871008</v>
      </c>
      <c r="R202" s="39">
        <v>65.421751861084104</v>
      </c>
    </row>
    <row r="203" spans="1:18" hidden="1" x14ac:dyDescent="0.25">
      <c r="A203" s="37" t="s">
        <v>199</v>
      </c>
      <c r="B203" s="32">
        <v>5.4999930000001704</v>
      </c>
      <c r="C203" s="38" t="s">
        <v>55</v>
      </c>
      <c r="D203" s="38" t="s">
        <v>184</v>
      </c>
      <c r="E203" s="32">
        <v>0</v>
      </c>
      <c r="F203" s="32">
        <v>0</v>
      </c>
      <c r="G203" s="32">
        <v>0</v>
      </c>
      <c r="H203" s="32">
        <v>5.4999930000001704</v>
      </c>
      <c r="I203" s="32">
        <v>5.4999930000001704</v>
      </c>
      <c r="J203" s="39">
        <v>0</v>
      </c>
      <c r="K203" s="39">
        <v>0</v>
      </c>
      <c r="L203" s="39">
        <v>0</v>
      </c>
      <c r="M203" s="40">
        <v>1.50129250360862</v>
      </c>
      <c r="N203" s="39">
        <v>0</v>
      </c>
      <c r="O203" s="40">
        <v>15.770205401278</v>
      </c>
      <c r="P203" s="39">
        <v>10</v>
      </c>
      <c r="Q203" s="39">
        <v>28.673137222679301</v>
      </c>
      <c r="R203" s="39">
        <v>157.70205401278</v>
      </c>
    </row>
    <row r="204" spans="1:18" hidden="1" x14ac:dyDescent="0.25">
      <c r="A204" s="37" t="s">
        <v>200</v>
      </c>
      <c r="B204" s="32">
        <v>5.4999930000001704</v>
      </c>
      <c r="C204" s="38" t="s">
        <v>55</v>
      </c>
      <c r="D204" s="38" t="s">
        <v>184</v>
      </c>
      <c r="E204" s="32">
        <v>0</v>
      </c>
      <c r="F204" s="32">
        <v>0</v>
      </c>
      <c r="G204" s="32">
        <v>0</v>
      </c>
      <c r="H204" s="32">
        <v>5.4999930000001704</v>
      </c>
      <c r="I204" s="32">
        <v>5.4999930000001704</v>
      </c>
      <c r="J204" s="39">
        <v>0</v>
      </c>
      <c r="K204" s="39">
        <v>0</v>
      </c>
      <c r="L204" s="39">
        <v>0</v>
      </c>
      <c r="M204" s="40">
        <v>1.50129250360862</v>
      </c>
      <c r="N204" s="39">
        <v>0</v>
      </c>
      <c r="O204" s="40">
        <v>15.483264464448901</v>
      </c>
      <c r="P204" s="39">
        <v>10</v>
      </c>
      <c r="Q204" s="39">
        <v>28.151425764448</v>
      </c>
      <c r="R204" s="39">
        <v>154.83264464448899</v>
      </c>
    </row>
    <row r="205" spans="1:18" hidden="1" x14ac:dyDescent="0.25">
      <c r="A205" s="37" t="s">
        <v>201</v>
      </c>
      <c r="B205" s="32">
        <v>3.4999929999998201</v>
      </c>
      <c r="C205" s="38" t="s">
        <v>55</v>
      </c>
      <c r="D205" s="38" t="s">
        <v>184</v>
      </c>
      <c r="E205" s="32">
        <v>0</v>
      </c>
      <c r="F205" s="32">
        <v>0</v>
      </c>
      <c r="G205" s="32">
        <v>3.2919648724631498</v>
      </c>
      <c r="H205" s="32">
        <v>0.208028127536661</v>
      </c>
      <c r="I205" s="32">
        <v>3.4999929999998201</v>
      </c>
      <c r="J205" s="39">
        <v>0</v>
      </c>
      <c r="K205" s="39">
        <v>0</v>
      </c>
      <c r="L205" s="39">
        <v>0</v>
      </c>
      <c r="M205" s="40">
        <v>0.65138988768044603</v>
      </c>
      <c r="N205" s="39">
        <v>0</v>
      </c>
      <c r="O205" s="40">
        <v>5.8387576218958399</v>
      </c>
      <c r="P205" s="39">
        <v>10</v>
      </c>
      <c r="Q205" s="39">
        <v>16.682197998385</v>
      </c>
      <c r="R205" s="39">
        <v>58.387576218958401</v>
      </c>
    </row>
    <row r="206" spans="1:18" hidden="1" x14ac:dyDescent="0.25">
      <c r="A206" s="37" t="s">
        <v>202</v>
      </c>
      <c r="B206" s="32">
        <v>5.7521051083423202</v>
      </c>
      <c r="C206" s="38" t="s">
        <v>55</v>
      </c>
      <c r="D206" s="38" t="s">
        <v>184</v>
      </c>
      <c r="E206" s="32">
        <v>0</v>
      </c>
      <c r="F206" s="32">
        <v>0</v>
      </c>
      <c r="G206" s="32">
        <v>5.7521051083423202</v>
      </c>
      <c r="H206" s="32">
        <v>0</v>
      </c>
      <c r="I206" s="32">
        <v>5.7521051083423202</v>
      </c>
      <c r="J206" s="39">
        <v>0</v>
      </c>
      <c r="K206" s="39">
        <v>0</v>
      </c>
      <c r="L206" s="39">
        <v>0</v>
      </c>
      <c r="M206" s="40">
        <v>0.57095925564271599</v>
      </c>
      <c r="N206" s="39">
        <v>0</v>
      </c>
      <c r="O206" s="40">
        <v>3.14463906490972</v>
      </c>
      <c r="P206" s="39">
        <v>10</v>
      </c>
      <c r="Q206" s="39">
        <v>5.4669360272103296</v>
      </c>
      <c r="R206" s="39">
        <v>31.4463906490972</v>
      </c>
    </row>
    <row r="207" spans="1:18" hidden="1" x14ac:dyDescent="0.25">
      <c r="A207" s="37" t="s">
        <v>203</v>
      </c>
      <c r="B207" s="32">
        <v>25.000000000000099</v>
      </c>
      <c r="C207" s="38" t="s">
        <v>55</v>
      </c>
      <c r="D207" s="38" t="s">
        <v>184</v>
      </c>
      <c r="E207" s="32">
        <v>0</v>
      </c>
      <c r="F207" s="32">
        <v>3.59811217356937</v>
      </c>
      <c r="G207" s="32">
        <v>21.401887826430698</v>
      </c>
      <c r="H207" s="32">
        <v>0</v>
      </c>
      <c r="I207" s="32">
        <v>25.000000000000099</v>
      </c>
      <c r="J207" s="39">
        <v>0</v>
      </c>
      <c r="K207" s="39">
        <v>0</v>
      </c>
      <c r="L207" s="39">
        <v>0</v>
      </c>
      <c r="M207" s="40">
        <v>2.4815230462959201</v>
      </c>
      <c r="N207" s="39">
        <v>0</v>
      </c>
      <c r="O207" s="40">
        <v>8.5781912106705107</v>
      </c>
      <c r="P207" s="39">
        <v>10</v>
      </c>
      <c r="Q207" s="39">
        <v>3.43127648426819</v>
      </c>
      <c r="R207" s="39">
        <v>85.781912106705093</v>
      </c>
    </row>
    <row r="208" spans="1:18" hidden="1" x14ac:dyDescent="0.25">
      <c r="A208" s="37" t="s">
        <v>204</v>
      </c>
      <c r="B208" s="32">
        <v>4.5760202890114403</v>
      </c>
      <c r="C208" s="38" t="s">
        <v>55</v>
      </c>
      <c r="D208" s="38" t="s">
        <v>184</v>
      </c>
      <c r="E208" s="32">
        <v>0</v>
      </c>
      <c r="F208" s="32">
        <v>4.5760202890114403</v>
      </c>
      <c r="G208" s="32">
        <v>0</v>
      </c>
      <c r="H208" s="32">
        <v>0</v>
      </c>
      <c r="I208" s="32">
        <v>4.5760202890114403</v>
      </c>
      <c r="J208" s="39">
        <v>0</v>
      </c>
      <c r="K208" s="39">
        <v>0</v>
      </c>
      <c r="L208" s="39">
        <v>0</v>
      </c>
      <c r="M208" s="40">
        <v>0.454219992299983</v>
      </c>
      <c r="N208" s="39">
        <v>0</v>
      </c>
      <c r="O208" s="40">
        <v>0.53542771914704002</v>
      </c>
      <c r="P208" s="39">
        <v>10</v>
      </c>
      <c r="Q208" s="39">
        <v>1.1700728697221501</v>
      </c>
      <c r="R208" s="39">
        <v>5.3542771914704002</v>
      </c>
    </row>
    <row r="209" spans="1:18" hidden="1" x14ac:dyDescent="0.25">
      <c r="A209" s="37" t="s">
        <v>205</v>
      </c>
      <c r="B209" s="32">
        <v>4.6666573333334602</v>
      </c>
      <c r="C209" s="38" t="s">
        <v>55</v>
      </c>
      <c r="D209" s="38" t="s">
        <v>184</v>
      </c>
      <c r="E209" s="32">
        <v>0</v>
      </c>
      <c r="F209" s="32">
        <v>4.6666573333334602</v>
      </c>
      <c r="G209" s="32">
        <v>0</v>
      </c>
      <c r="H209" s="32">
        <v>0</v>
      </c>
      <c r="I209" s="32">
        <v>4.6666573333334602</v>
      </c>
      <c r="J209" s="39">
        <v>0</v>
      </c>
      <c r="K209" s="39">
        <v>0</v>
      </c>
      <c r="L209" s="39">
        <v>0</v>
      </c>
      <c r="M209" s="40">
        <v>1.0036260698630599</v>
      </c>
      <c r="N209" s="39">
        <v>0</v>
      </c>
      <c r="O209" s="40">
        <v>1.80210745204085</v>
      </c>
      <c r="P209" s="39">
        <v>10</v>
      </c>
      <c r="Q209" s="39">
        <v>3.8616665491348199</v>
      </c>
      <c r="R209" s="39">
        <v>18.021074520408501</v>
      </c>
    </row>
    <row r="210" spans="1:18" hidden="1" x14ac:dyDescent="0.25">
      <c r="A210" s="37" t="s">
        <v>206</v>
      </c>
      <c r="B210" s="32">
        <v>6.6666573333334398</v>
      </c>
      <c r="C210" s="38" t="s">
        <v>55</v>
      </c>
      <c r="D210" s="38" t="s">
        <v>184</v>
      </c>
      <c r="E210" s="32">
        <v>0</v>
      </c>
      <c r="F210" s="32">
        <v>6.6666573333334398</v>
      </c>
      <c r="G210" s="32">
        <v>0</v>
      </c>
      <c r="H210" s="32">
        <v>0</v>
      </c>
      <c r="I210" s="32">
        <v>6.6666573333334398</v>
      </c>
      <c r="J210" s="39">
        <v>0</v>
      </c>
      <c r="K210" s="39">
        <v>0</v>
      </c>
      <c r="L210" s="39">
        <v>0</v>
      </c>
      <c r="M210" s="40">
        <v>2.20576622467985</v>
      </c>
      <c r="N210" s="39">
        <v>0</v>
      </c>
      <c r="O210" s="40">
        <v>4.5046792422799902</v>
      </c>
      <c r="P210" s="39">
        <v>10</v>
      </c>
      <c r="Q210" s="39">
        <v>6.7570283232595303</v>
      </c>
      <c r="R210" s="39">
        <v>45.046792422799903</v>
      </c>
    </row>
    <row r="211" spans="1:18" hidden="1" x14ac:dyDescent="0.25">
      <c r="A211" s="37" t="s">
        <v>207</v>
      </c>
      <c r="B211" s="32">
        <v>0</v>
      </c>
      <c r="C211" s="38" t="s">
        <v>55</v>
      </c>
      <c r="D211" s="38" t="s">
        <v>184</v>
      </c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</row>
    <row r="212" spans="1:18" x14ac:dyDescent="0.25">
      <c r="A212" s="42" t="s">
        <v>37</v>
      </c>
      <c r="B212" s="43">
        <v>190.90933495567899</v>
      </c>
      <c r="C212" s="44" t="s">
        <v>55</v>
      </c>
      <c r="D212" s="44" t="s">
        <v>184</v>
      </c>
      <c r="E212" s="45">
        <f>SUM(E189:E210)</f>
        <v>97.760207203718409</v>
      </c>
      <c r="F212" s="45">
        <f>SUM(F189:F210)</f>
        <v>19.507447129247712</v>
      </c>
      <c r="G212" s="45">
        <f>SUM(G189:G210)</f>
        <v>54.663850896663604</v>
      </c>
      <c r="H212" s="45">
        <f>SUM(H189:H210)</f>
        <v>18.977829726048913</v>
      </c>
      <c r="I212" s="45">
        <f>SUM(I189:I210)</f>
        <v>190.90933495567873</v>
      </c>
      <c r="J212" s="46">
        <v>0</v>
      </c>
      <c r="K212" s="46">
        <v>0</v>
      </c>
      <c r="L212" s="46">
        <v>0</v>
      </c>
      <c r="M212" s="47">
        <f>SUM(M189:M210)</f>
        <v>16.475623067263466</v>
      </c>
      <c r="N212" s="48">
        <f>(N189)</f>
        <v>0</v>
      </c>
      <c r="O212" s="47">
        <f>SUM(O189:O210)</f>
        <v>104.58113481045044</v>
      </c>
      <c r="P212" s="48">
        <f>(P189)</f>
        <v>10</v>
      </c>
      <c r="Q212" s="48">
        <f>(R212/B212)</f>
        <v>5.478052439642604</v>
      </c>
      <c r="R212" s="48">
        <f>SUM(R189:R210)</f>
        <v>1045.8113481045043</v>
      </c>
    </row>
    <row r="214" spans="1:18" x14ac:dyDescent="0.25">
      <c r="A214" s="21" t="s">
        <v>1</v>
      </c>
      <c r="B214" s="27" t="s">
        <v>1</v>
      </c>
      <c r="C214" s="27" t="s">
        <v>1</v>
      </c>
      <c r="D214" s="27" t="s">
        <v>1</v>
      </c>
      <c r="E214" s="27" t="s">
        <v>1</v>
      </c>
      <c r="F214" s="27" t="s">
        <v>1</v>
      </c>
      <c r="G214" s="27" t="s">
        <v>1</v>
      </c>
      <c r="H214" s="27" t="s">
        <v>1</v>
      </c>
      <c r="I214" s="27" t="s">
        <v>1</v>
      </c>
      <c r="J214" s="27" t="s">
        <v>1</v>
      </c>
      <c r="K214" s="27" t="s">
        <v>1</v>
      </c>
      <c r="L214" s="27" t="s">
        <v>1</v>
      </c>
      <c r="M214" s="27" t="s">
        <v>1</v>
      </c>
      <c r="N214" s="27" t="s">
        <v>1</v>
      </c>
      <c r="O214" s="27" t="s">
        <v>1</v>
      </c>
      <c r="P214" s="27" t="s">
        <v>1</v>
      </c>
      <c r="Q214" s="27" t="s">
        <v>1</v>
      </c>
      <c r="R214" s="26" t="s">
        <v>1</v>
      </c>
    </row>
    <row r="215" spans="1:18" x14ac:dyDescent="0.25">
      <c r="A215" s="24" t="s">
        <v>208</v>
      </c>
      <c r="B215" s="20" t="s">
        <v>208</v>
      </c>
      <c r="C215" s="20" t="s">
        <v>208</v>
      </c>
      <c r="D215" s="20" t="s">
        <v>208</v>
      </c>
      <c r="E215" s="20" t="s">
        <v>208</v>
      </c>
      <c r="F215" s="20" t="s">
        <v>208</v>
      </c>
      <c r="G215" s="20" t="s">
        <v>208</v>
      </c>
      <c r="H215" s="20" t="s">
        <v>208</v>
      </c>
      <c r="I215" s="20" t="s">
        <v>208</v>
      </c>
      <c r="J215" s="20" t="s">
        <v>208</v>
      </c>
      <c r="K215" s="20" t="s">
        <v>208</v>
      </c>
      <c r="L215" s="20" t="s">
        <v>208</v>
      </c>
      <c r="M215" s="20" t="s">
        <v>208</v>
      </c>
      <c r="N215" s="20" t="s">
        <v>208</v>
      </c>
      <c r="O215" s="20" t="s">
        <v>208</v>
      </c>
      <c r="P215" s="20" t="s">
        <v>208</v>
      </c>
      <c r="Q215" s="20" t="s">
        <v>208</v>
      </c>
      <c r="R215" s="23" t="s">
        <v>208</v>
      </c>
    </row>
    <row r="216" spans="1:18" x14ac:dyDescent="0.25">
      <c r="A216" s="19"/>
      <c r="B216" s="19" t="s">
        <v>209</v>
      </c>
      <c r="C216" s="19" t="s">
        <v>4</v>
      </c>
      <c r="D216" s="17" t="s">
        <v>16</v>
      </c>
      <c r="E216" s="15" t="s">
        <v>17</v>
      </c>
      <c r="F216" s="15" t="s">
        <v>17</v>
      </c>
      <c r="G216" s="15" t="s">
        <v>17</v>
      </c>
      <c r="H216" s="15" t="s">
        <v>17</v>
      </c>
      <c r="I216" s="15" t="s">
        <v>17</v>
      </c>
      <c r="J216" s="15" t="s">
        <v>18</v>
      </c>
      <c r="K216" s="15" t="s">
        <v>18</v>
      </c>
      <c r="L216" s="17" t="s">
        <v>18</v>
      </c>
      <c r="M216" s="14" t="s">
        <v>19</v>
      </c>
      <c r="N216" s="15" t="s">
        <v>19</v>
      </c>
      <c r="O216" s="14" t="s">
        <v>20</v>
      </c>
      <c r="P216" s="15" t="s">
        <v>20</v>
      </c>
      <c r="Q216" s="17" t="s">
        <v>21</v>
      </c>
      <c r="R216" s="17" t="s">
        <v>22</v>
      </c>
    </row>
    <row r="217" spans="1:18" x14ac:dyDescent="0.25">
      <c r="A217" s="18"/>
      <c r="B217" s="18" t="s">
        <v>209</v>
      </c>
      <c r="C217" s="18" t="s">
        <v>4</v>
      </c>
      <c r="D217" s="16" t="s">
        <v>16</v>
      </c>
      <c r="E217" s="35" t="s">
        <v>23</v>
      </c>
      <c r="F217" s="35" t="s">
        <v>24</v>
      </c>
      <c r="G217" s="35" t="s">
        <v>25</v>
      </c>
      <c r="H217" s="35" t="s">
        <v>26</v>
      </c>
      <c r="I217" s="36" t="s">
        <v>11</v>
      </c>
      <c r="J217" s="35" t="s">
        <v>24</v>
      </c>
      <c r="K217" s="35" t="s">
        <v>25</v>
      </c>
      <c r="L217" s="16" t="s">
        <v>18</v>
      </c>
      <c r="M217" s="35" t="s">
        <v>27</v>
      </c>
      <c r="N217" s="35" t="s">
        <v>28</v>
      </c>
      <c r="O217" s="35" t="s">
        <v>27</v>
      </c>
      <c r="P217" s="35" t="s">
        <v>28</v>
      </c>
      <c r="Q217" s="16" t="s">
        <v>21</v>
      </c>
      <c r="R217" s="16" t="s">
        <v>22</v>
      </c>
    </row>
    <row r="218" spans="1:18" x14ac:dyDescent="0.25">
      <c r="A218" s="41"/>
      <c r="B218" s="32">
        <v>89.617692858358794</v>
      </c>
      <c r="C218" s="38" t="s">
        <v>30</v>
      </c>
      <c r="D218" s="38" t="s">
        <v>108</v>
      </c>
      <c r="E218" s="32">
        <v>0</v>
      </c>
      <c r="F218" s="32">
        <v>0</v>
      </c>
      <c r="G218" s="32">
        <v>89.617692858358794</v>
      </c>
      <c r="H218" s="32">
        <v>0</v>
      </c>
      <c r="I218" s="32">
        <v>89.617692858358794</v>
      </c>
      <c r="J218" s="39">
        <v>0</v>
      </c>
      <c r="K218" s="39">
        <v>0</v>
      </c>
      <c r="L218" s="39">
        <v>0</v>
      </c>
      <c r="M218" s="40">
        <v>11.428140382027699</v>
      </c>
      <c r="N218" s="39">
        <v>0</v>
      </c>
      <c r="O218" s="40">
        <v>92.186580535093796</v>
      </c>
      <c r="P218" s="39">
        <v>10</v>
      </c>
      <c r="Q218" s="39">
        <v>10.286649610674001</v>
      </c>
      <c r="R218" s="39">
        <v>921.86580535093799</v>
      </c>
    </row>
    <row r="219" spans="1:18" x14ac:dyDescent="0.25">
      <c r="A219" s="41"/>
      <c r="B219" s="32">
        <v>668.64420327233802</v>
      </c>
      <c r="C219" s="38" t="s">
        <v>39</v>
      </c>
      <c r="D219" s="38" t="s">
        <v>108</v>
      </c>
      <c r="E219" s="32">
        <v>0</v>
      </c>
      <c r="F219" s="32">
        <v>9.6601576304488894</v>
      </c>
      <c r="G219" s="32">
        <v>658.984045641889</v>
      </c>
      <c r="H219" s="32">
        <v>0</v>
      </c>
      <c r="I219" s="32">
        <v>668.64420327233802</v>
      </c>
      <c r="J219" s="39">
        <v>0</v>
      </c>
      <c r="K219" s="39">
        <v>0</v>
      </c>
      <c r="L219" s="39">
        <v>0</v>
      </c>
      <c r="M219" s="40">
        <v>72.707246918119495</v>
      </c>
      <c r="N219" s="39">
        <v>0</v>
      </c>
      <c r="O219" s="40">
        <v>468.42270289708898</v>
      </c>
      <c r="P219" s="39">
        <v>10</v>
      </c>
      <c r="Q219" s="39">
        <v>7.0055599166886298</v>
      </c>
      <c r="R219" s="39">
        <v>4684.2270289708904</v>
      </c>
    </row>
    <row r="220" spans="1:18" x14ac:dyDescent="0.25">
      <c r="A220" s="41"/>
      <c r="B220" s="32">
        <v>731.66552844441503</v>
      </c>
      <c r="C220" s="38" t="s">
        <v>55</v>
      </c>
      <c r="D220" s="38" t="s">
        <v>108</v>
      </c>
      <c r="E220" s="32">
        <v>97.760207203718394</v>
      </c>
      <c r="F220" s="32">
        <v>65.024954215478402</v>
      </c>
      <c r="G220" s="32">
        <v>478.77836716414203</v>
      </c>
      <c r="H220" s="32">
        <v>90.101999861077005</v>
      </c>
      <c r="I220" s="32">
        <v>731.66552844441503</v>
      </c>
      <c r="J220" s="39">
        <v>0</v>
      </c>
      <c r="K220" s="39">
        <v>0</v>
      </c>
      <c r="L220" s="39">
        <v>0</v>
      </c>
      <c r="M220" s="40">
        <v>76.396455358958903</v>
      </c>
      <c r="N220" s="39">
        <v>0</v>
      </c>
      <c r="O220" s="40">
        <v>464.22348465326098</v>
      </c>
      <c r="P220" s="39">
        <v>10</v>
      </c>
      <c r="Q220" s="39">
        <v>6.3447499794098601</v>
      </c>
      <c r="R220" s="39">
        <v>4642.2348465326104</v>
      </c>
    </row>
    <row r="221" spans="1:18" x14ac:dyDescent="0.25">
      <c r="A221" s="41"/>
      <c r="B221" s="32">
        <v>215.68541427868101</v>
      </c>
      <c r="C221" s="38" t="s">
        <v>118</v>
      </c>
      <c r="D221" s="38" t="s">
        <v>111</v>
      </c>
      <c r="E221" s="32">
        <v>0</v>
      </c>
      <c r="F221" s="32">
        <v>0</v>
      </c>
      <c r="G221" s="32">
        <v>215.68541427868101</v>
      </c>
      <c r="H221" s="32">
        <v>0</v>
      </c>
      <c r="I221" s="32">
        <v>215.68541427868101</v>
      </c>
      <c r="J221" s="39">
        <v>0</v>
      </c>
      <c r="K221" s="39">
        <v>0</v>
      </c>
      <c r="L221" s="39">
        <v>0</v>
      </c>
      <c r="M221" s="40">
        <v>23.369278276636699</v>
      </c>
      <c r="N221" s="39">
        <v>0</v>
      </c>
      <c r="O221" s="40">
        <v>147.263098953373</v>
      </c>
      <c r="P221" s="39">
        <v>10</v>
      </c>
      <c r="Q221" s="39">
        <v>6.8276800007949801</v>
      </c>
      <c r="R221" s="39">
        <v>1472.6309895337299</v>
      </c>
    </row>
    <row r="223" spans="1:18" x14ac:dyDescent="0.25">
      <c r="A223" s="13" t="s">
        <v>210</v>
      </c>
      <c r="B223" s="12" t="s">
        <v>210</v>
      </c>
      <c r="C223" s="12" t="s">
        <v>210</v>
      </c>
      <c r="D223" s="12" t="s">
        <v>210</v>
      </c>
      <c r="E223" s="12" t="s">
        <v>210</v>
      </c>
      <c r="F223" s="12" t="s">
        <v>210</v>
      </c>
      <c r="G223" s="12" t="s">
        <v>210</v>
      </c>
      <c r="H223" s="12" t="s">
        <v>210</v>
      </c>
      <c r="I223" s="12" t="s">
        <v>210</v>
      </c>
    </row>
  </sheetData>
  <mergeCells count="119">
    <mergeCell ref="A223:I223"/>
    <mergeCell ref="A214:R214"/>
    <mergeCell ref="A215:R215"/>
    <mergeCell ref="A216:A217"/>
    <mergeCell ref="B216:B217"/>
    <mergeCell ref="C216:C217"/>
    <mergeCell ref="D216:D217"/>
    <mergeCell ref="E216:I216"/>
    <mergeCell ref="J216:K216"/>
    <mergeCell ref="L216:L217"/>
    <mergeCell ref="M216:N216"/>
    <mergeCell ref="O216:P216"/>
    <mergeCell ref="Q216:Q217"/>
    <mergeCell ref="R216:R217"/>
    <mergeCell ref="A185:R185"/>
    <mergeCell ref="A186:R186"/>
    <mergeCell ref="A187:A188"/>
    <mergeCell ref="B187:B188"/>
    <mergeCell ref="C187:C188"/>
    <mergeCell ref="D187:D188"/>
    <mergeCell ref="E187:I187"/>
    <mergeCell ref="J187:K187"/>
    <mergeCell ref="L187:L188"/>
    <mergeCell ref="M187:N187"/>
    <mergeCell ref="O187:P187"/>
    <mergeCell ref="Q187:Q188"/>
    <mergeCell ref="R187:R188"/>
    <mergeCell ref="A154:R154"/>
    <mergeCell ref="A155:R155"/>
    <mergeCell ref="A156:A157"/>
    <mergeCell ref="B156:B157"/>
    <mergeCell ref="C156:C157"/>
    <mergeCell ref="D156:D157"/>
    <mergeCell ref="E156:I156"/>
    <mergeCell ref="J156:K156"/>
    <mergeCell ref="L156:L157"/>
    <mergeCell ref="M156:N156"/>
    <mergeCell ref="O156:P156"/>
    <mergeCell ref="Q156:Q157"/>
    <mergeCell ref="R156:R157"/>
    <mergeCell ref="A105:R105"/>
    <mergeCell ref="A106:R106"/>
    <mergeCell ref="A107:A108"/>
    <mergeCell ref="B107:B108"/>
    <mergeCell ref="C107:C108"/>
    <mergeCell ref="D107:D108"/>
    <mergeCell ref="E107:I107"/>
    <mergeCell ref="J107:K107"/>
    <mergeCell ref="L107:L108"/>
    <mergeCell ref="M107:N107"/>
    <mergeCell ref="O107:P107"/>
    <mergeCell ref="Q107:Q108"/>
    <mergeCell ref="R107:R108"/>
    <mergeCell ref="A47:R47"/>
    <mergeCell ref="A48:R48"/>
    <mergeCell ref="A49:A50"/>
    <mergeCell ref="B49:B50"/>
    <mergeCell ref="C49:C50"/>
    <mergeCell ref="D49:D50"/>
    <mergeCell ref="E49:I49"/>
    <mergeCell ref="J49:K49"/>
    <mergeCell ref="L49:L50"/>
    <mergeCell ref="M49:N49"/>
    <mergeCell ref="O49:P49"/>
    <mergeCell ref="Q49:Q50"/>
    <mergeCell ref="R49:R50"/>
    <mergeCell ref="A37:R37"/>
    <mergeCell ref="A38:R38"/>
    <mergeCell ref="A39:A40"/>
    <mergeCell ref="B39:B40"/>
    <mergeCell ref="C39:C40"/>
    <mergeCell ref="D39:D40"/>
    <mergeCell ref="E39:I39"/>
    <mergeCell ref="J39:K39"/>
    <mergeCell ref="L39:L40"/>
    <mergeCell ref="M39:N39"/>
    <mergeCell ref="O39:P39"/>
    <mergeCell ref="Q39:Q40"/>
    <mergeCell ref="R39:R40"/>
    <mergeCell ref="A26:R26"/>
    <mergeCell ref="A27:R27"/>
    <mergeCell ref="A28:A29"/>
    <mergeCell ref="B28:B29"/>
    <mergeCell ref="C28:C29"/>
    <mergeCell ref="D28:D29"/>
    <mergeCell ref="E28:I28"/>
    <mergeCell ref="J28:K28"/>
    <mergeCell ref="L28:L29"/>
    <mergeCell ref="M28:N28"/>
    <mergeCell ref="O28:P28"/>
    <mergeCell ref="Q28:Q29"/>
    <mergeCell ref="R28:R29"/>
    <mergeCell ref="A14:R14"/>
    <mergeCell ref="A15:R15"/>
    <mergeCell ref="A16:A17"/>
    <mergeCell ref="B16:B17"/>
    <mergeCell ref="C16:C17"/>
    <mergeCell ref="D16:D17"/>
    <mergeCell ref="E16:I16"/>
    <mergeCell ref="J16:K16"/>
    <mergeCell ref="L16:L17"/>
    <mergeCell ref="M16:N16"/>
    <mergeCell ref="O16:P16"/>
    <mergeCell ref="Q16:Q17"/>
    <mergeCell ref="R16:R17"/>
    <mergeCell ref="A1:R1"/>
    <mergeCell ref="A2:R2"/>
    <mergeCell ref="A3:R3"/>
    <mergeCell ref="A4:A5"/>
    <mergeCell ref="B4:B5"/>
    <mergeCell ref="C4:C5"/>
    <mergeCell ref="D4:D5"/>
    <mergeCell ref="E4:I4"/>
    <mergeCell ref="J4:K4"/>
    <mergeCell ref="L4:L5"/>
    <mergeCell ref="M4:N4"/>
    <mergeCell ref="O4:P4"/>
    <mergeCell ref="Q4:Q5"/>
    <mergeCell ref="R4:R5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6"/>
  <sheetViews>
    <sheetView topLeftCell="B1" workbookViewId="0">
      <selection sqref="A1:P1"/>
    </sheetView>
  </sheetViews>
  <sheetFormatPr defaultRowHeight="15" x14ac:dyDescent="0.25"/>
  <cols>
    <col min="1" max="5" width="18.7109375" customWidth="1"/>
    <col min="6" max="16" width="16.7109375" customWidth="1"/>
  </cols>
  <sheetData>
    <row r="1" spans="1:16" x14ac:dyDescent="0.25">
      <c r="A1" s="28" t="s">
        <v>211</v>
      </c>
      <c r="B1" s="27" t="s">
        <v>211</v>
      </c>
      <c r="C1" s="27" t="s">
        <v>211</v>
      </c>
      <c r="D1" s="27" t="s">
        <v>211</v>
      </c>
      <c r="E1" s="27" t="s">
        <v>211</v>
      </c>
      <c r="F1" s="27" t="s">
        <v>211</v>
      </c>
      <c r="G1" s="27" t="s">
        <v>211</v>
      </c>
      <c r="H1" s="27" t="s">
        <v>211</v>
      </c>
      <c r="I1" s="27" t="s">
        <v>211</v>
      </c>
      <c r="J1" s="27" t="s">
        <v>211</v>
      </c>
      <c r="K1" s="27" t="s">
        <v>211</v>
      </c>
      <c r="L1" s="27" t="s">
        <v>211</v>
      </c>
      <c r="M1" s="27" t="s">
        <v>211</v>
      </c>
      <c r="N1" s="27" t="s">
        <v>211</v>
      </c>
      <c r="O1" s="27" t="s">
        <v>211</v>
      </c>
      <c r="P1" s="26" t="s">
        <v>211</v>
      </c>
    </row>
    <row r="2" spans="1:16" x14ac:dyDescent="0.25">
      <c r="A2" s="25" t="s">
        <v>1</v>
      </c>
      <c r="B2" s="27" t="s">
        <v>1</v>
      </c>
      <c r="C2" s="27" t="s">
        <v>1</v>
      </c>
      <c r="D2" s="27" t="s">
        <v>1</v>
      </c>
      <c r="E2" s="27" t="s">
        <v>1</v>
      </c>
      <c r="F2" s="27" t="s">
        <v>1</v>
      </c>
      <c r="G2" s="27" t="s">
        <v>1</v>
      </c>
      <c r="H2" s="27" t="s">
        <v>1</v>
      </c>
      <c r="I2" s="27" t="s">
        <v>1</v>
      </c>
      <c r="J2" s="27" t="s">
        <v>1</v>
      </c>
      <c r="K2" s="27" t="s">
        <v>1</v>
      </c>
      <c r="L2" s="27" t="s">
        <v>1</v>
      </c>
      <c r="M2" s="27" t="s">
        <v>1</v>
      </c>
      <c r="N2" s="27" t="s">
        <v>1</v>
      </c>
      <c r="O2" s="27" t="s">
        <v>1</v>
      </c>
      <c r="P2" s="26" t="s">
        <v>1</v>
      </c>
    </row>
    <row r="3" spans="1:16" x14ac:dyDescent="0.25">
      <c r="A3" s="25" t="s">
        <v>13</v>
      </c>
      <c r="B3" s="27" t="s">
        <v>13</v>
      </c>
      <c r="C3" s="27" t="s">
        <v>13</v>
      </c>
      <c r="D3" s="27" t="s">
        <v>13</v>
      </c>
      <c r="E3" s="27" t="s">
        <v>13</v>
      </c>
      <c r="F3" s="27" t="s">
        <v>13</v>
      </c>
      <c r="G3" s="27" t="s">
        <v>13</v>
      </c>
      <c r="H3" s="27" t="s">
        <v>13</v>
      </c>
      <c r="I3" s="27" t="s">
        <v>13</v>
      </c>
      <c r="J3" s="27" t="s">
        <v>13</v>
      </c>
      <c r="K3" s="27" t="s">
        <v>13</v>
      </c>
      <c r="L3" s="27" t="s">
        <v>13</v>
      </c>
      <c r="M3" s="27" t="s">
        <v>13</v>
      </c>
      <c r="N3" s="27" t="s">
        <v>13</v>
      </c>
      <c r="O3" s="27" t="s">
        <v>13</v>
      </c>
      <c r="P3" s="26" t="s">
        <v>13</v>
      </c>
    </row>
    <row r="4" spans="1:16" x14ac:dyDescent="0.25">
      <c r="A4" s="11" t="s">
        <v>212</v>
      </c>
      <c r="B4" s="11" t="s">
        <v>213</v>
      </c>
      <c r="C4" s="9" t="s">
        <v>214</v>
      </c>
      <c r="D4" s="9" t="s">
        <v>215</v>
      </c>
      <c r="E4" s="9" t="s">
        <v>216</v>
      </c>
      <c r="F4" s="8" t="s">
        <v>20</v>
      </c>
      <c r="G4" s="26"/>
      <c r="H4" s="7" t="s">
        <v>19</v>
      </c>
      <c r="I4" s="27"/>
      <c r="J4" s="26"/>
      <c r="K4" s="7" t="s">
        <v>20</v>
      </c>
      <c r="L4" s="27"/>
      <c r="M4" s="26"/>
      <c r="N4" s="6" t="s">
        <v>217</v>
      </c>
      <c r="O4" s="26"/>
      <c r="P4" s="5" t="s">
        <v>218</v>
      </c>
    </row>
    <row r="5" spans="1:16" ht="30" x14ac:dyDescent="0.25">
      <c r="A5" s="10"/>
      <c r="B5" s="10"/>
      <c r="C5" s="10"/>
      <c r="D5" s="10"/>
      <c r="E5" s="10"/>
      <c r="F5" s="50" t="s">
        <v>219</v>
      </c>
      <c r="G5" s="50" t="s">
        <v>220</v>
      </c>
      <c r="H5" s="51" t="s">
        <v>221</v>
      </c>
      <c r="I5" s="51" t="s">
        <v>219</v>
      </c>
      <c r="J5" s="51" t="s">
        <v>220</v>
      </c>
      <c r="K5" s="51" t="s">
        <v>221</v>
      </c>
      <c r="L5" s="51" t="s">
        <v>219</v>
      </c>
      <c r="M5" s="51" t="s">
        <v>220</v>
      </c>
      <c r="N5" s="52" t="s">
        <v>219</v>
      </c>
      <c r="O5" s="52" t="s">
        <v>220</v>
      </c>
      <c r="P5" s="10"/>
    </row>
    <row r="6" spans="1:16" x14ac:dyDescent="0.25">
      <c r="A6" s="37" t="s">
        <v>222</v>
      </c>
      <c r="B6" s="37" t="s">
        <v>29</v>
      </c>
      <c r="C6" s="53">
        <v>30.589081724182002</v>
      </c>
      <c r="D6" s="53">
        <v>2.86250771149209</v>
      </c>
      <c r="E6" s="53">
        <v>2.86250771149209</v>
      </c>
      <c r="F6" s="53">
        <v>30.589081724182002</v>
      </c>
      <c r="G6" s="53">
        <v>2.86250771149209</v>
      </c>
      <c r="H6" s="54" t="s">
        <v>185</v>
      </c>
      <c r="I6" s="55">
        <v>3.4058782233328002</v>
      </c>
      <c r="J6" s="55">
        <v>0.320615079665588</v>
      </c>
      <c r="K6" s="55">
        <v>0.83777552039159697</v>
      </c>
      <c r="L6" s="55">
        <v>26.3454279804576</v>
      </c>
      <c r="M6" s="55">
        <v>2.46302796092544</v>
      </c>
      <c r="N6" s="56">
        <v>0.83777552039159697</v>
      </c>
      <c r="O6" s="56">
        <v>7.8864670901060793E-2</v>
      </c>
      <c r="P6" s="56">
        <f t="shared" ref="P6:P12" si="0">(E6-M6)</f>
        <v>0.39947975056665008</v>
      </c>
    </row>
    <row r="7" spans="1:16" x14ac:dyDescent="0.25">
      <c r="A7" s="37" t="s">
        <v>29</v>
      </c>
      <c r="B7" s="37" t="s">
        <v>32</v>
      </c>
      <c r="C7" s="53">
        <v>30.227475556043402</v>
      </c>
      <c r="D7" s="53">
        <v>2.8287446265199998</v>
      </c>
      <c r="E7" s="53">
        <v>5.6912523380120899</v>
      </c>
      <c r="F7" s="53">
        <v>30.227475556043402</v>
      </c>
      <c r="G7" s="53">
        <v>5.6912523380120899</v>
      </c>
      <c r="H7" s="54" t="s">
        <v>185</v>
      </c>
      <c r="I7" s="55">
        <v>3.4058782233328002</v>
      </c>
      <c r="J7" s="55">
        <v>0.641230159331176</v>
      </c>
      <c r="K7" s="55">
        <v>0.83777552039159697</v>
      </c>
      <c r="L7" s="55">
        <v>25.983821812319</v>
      </c>
      <c r="M7" s="55">
        <v>4.8922928368787897</v>
      </c>
      <c r="N7" s="56">
        <v>0.83777552039159697</v>
      </c>
      <c r="O7" s="56">
        <f>(O6+0.0788646709010608)</f>
        <v>0.15772934180212159</v>
      </c>
      <c r="P7" s="56">
        <f t="shared" si="0"/>
        <v>0.79895950113330017</v>
      </c>
    </row>
    <row r="8" spans="1:16" x14ac:dyDescent="0.25">
      <c r="A8" s="37" t="s">
        <v>32</v>
      </c>
      <c r="B8" s="37" t="s">
        <v>33</v>
      </c>
      <c r="C8" s="53">
        <v>29.8717545418241</v>
      </c>
      <c r="D8" s="53">
        <v>0.48162948206121697</v>
      </c>
      <c r="E8" s="53">
        <v>6.1728818200733002</v>
      </c>
      <c r="F8" s="53">
        <v>29.8717545418241</v>
      </c>
      <c r="G8" s="53">
        <v>6.1728818200733002</v>
      </c>
      <c r="H8" s="54" t="s">
        <v>185</v>
      </c>
      <c r="I8" s="55">
        <v>3.4058782233328002</v>
      </c>
      <c r="J8" s="55">
        <v>0.70227722759762701</v>
      </c>
      <c r="K8" s="55">
        <v>0.83777552039159697</v>
      </c>
      <c r="L8" s="55">
        <v>25.628100798099702</v>
      </c>
      <c r="M8" s="55">
        <v>5.29606802572743</v>
      </c>
      <c r="N8" s="56">
        <v>0.83777552039159697</v>
      </c>
      <c r="O8" s="56">
        <f>(O7+0.0168072249461277)</f>
        <v>0.1745365667482493</v>
      </c>
      <c r="P8" s="56">
        <f t="shared" si="0"/>
        <v>0.87681379434587026</v>
      </c>
    </row>
    <row r="9" spans="1:16" x14ac:dyDescent="0.25">
      <c r="A9" s="37" t="s">
        <v>33</v>
      </c>
      <c r="B9" s="37" t="s">
        <v>34</v>
      </c>
      <c r="C9" s="53">
        <v>18.1429999775096</v>
      </c>
      <c r="D9" s="53">
        <v>7.0492641660278297</v>
      </c>
      <c r="E9" s="53">
        <v>13.222145986101101</v>
      </c>
      <c r="F9" s="53">
        <v>18.1429999775096</v>
      </c>
      <c r="G9" s="53">
        <v>13.222145986101101</v>
      </c>
      <c r="H9" s="54" t="s">
        <v>185</v>
      </c>
      <c r="I9" s="55">
        <v>2.6800448899995799</v>
      </c>
      <c r="J9" s="55">
        <v>1.70515795766468</v>
      </c>
      <c r="K9" s="55">
        <v>0.83777552039159697</v>
      </c>
      <c r="L9" s="55">
        <v>14.6251795671184</v>
      </c>
      <c r="M9" s="55">
        <v>11.028953382362101</v>
      </c>
      <c r="N9" s="56">
        <v>0.83777552039159697</v>
      </c>
      <c r="O9" s="56">
        <f>(O8+0.31349807932611)</f>
        <v>0.48803464607435931</v>
      </c>
      <c r="P9" s="56">
        <f t="shared" si="0"/>
        <v>2.1931926037389999</v>
      </c>
    </row>
    <row r="10" spans="1:16" x14ac:dyDescent="0.25">
      <c r="A10" s="37" t="s">
        <v>34</v>
      </c>
      <c r="B10" s="37" t="s">
        <v>35</v>
      </c>
      <c r="C10" s="53">
        <v>19.533154005740201</v>
      </c>
      <c r="D10" s="53">
        <v>3.2563479086946598</v>
      </c>
      <c r="E10" s="53">
        <v>16.4784938947958</v>
      </c>
      <c r="F10" s="53">
        <v>19.533154005740201</v>
      </c>
      <c r="G10" s="53">
        <v>16.4784938947958</v>
      </c>
      <c r="H10" s="54" t="s">
        <v>185</v>
      </c>
      <c r="I10" s="55">
        <v>2.6800448899995799</v>
      </c>
      <c r="J10" s="55">
        <v>2.1084017382124798</v>
      </c>
      <c r="K10" s="55">
        <v>0.83777552039159697</v>
      </c>
      <c r="L10" s="55">
        <v>16.015333595348999</v>
      </c>
      <c r="M10" s="55">
        <v>13.804485858208899</v>
      </c>
      <c r="N10" s="56">
        <v>0.83777552039159697</v>
      </c>
      <c r="O10" s="56">
        <f>(O9+0.0775716523000515)</f>
        <v>0.56560629837441079</v>
      </c>
      <c r="P10" s="56">
        <f t="shared" si="0"/>
        <v>2.6740080365869012</v>
      </c>
    </row>
    <row r="11" spans="1:16" x14ac:dyDescent="0.25">
      <c r="A11" s="37" t="s">
        <v>35</v>
      </c>
      <c r="B11" s="37" t="s">
        <v>223</v>
      </c>
      <c r="C11" s="53">
        <v>50.804101496575299</v>
      </c>
      <c r="D11" s="53">
        <v>16.297777832378301</v>
      </c>
      <c r="E11" s="53">
        <v>32.776271727174098</v>
      </c>
      <c r="F11" s="53">
        <v>50.804101496575299</v>
      </c>
      <c r="G11" s="53">
        <v>32.776271727174098</v>
      </c>
      <c r="H11" s="54" t="s">
        <v>185</v>
      </c>
      <c r="I11" s="55">
        <v>6.0300381899990603</v>
      </c>
      <c r="J11" s="55">
        <v>4.1184122348646897</v>
      </c>
      <c r="K11" s="55">
        <v>0.83777552039159697</v>
      </c>
      <c r="L11" s="55">
        <v>43.9362877861847</v>
      </c>
      <c r="M11" s="55">
        <v>27.812994997425101</v>
      </c>
      <c r="N11" s="56">
        <v>0.83777552039159697</v>
      </c>
      <c r="O11" s="56">
        <f>(O10+0.279258196509969)</f>
        <v>0.84486449488437976</v>
      </c>
      <c r="P11" s="56">
        <f t="shared" si="0"/>
        <v>4.9632767297489977</v>
      </c>
    </row>
    <row r="12" spans="1:16" x14ac:dyDescent="0.25">
      <c r="A12" s="37" t="s">
        <v>223</v>
      </c>
      <c r="B12" s="37" t="s">
        <v>185</v>
      </c>
      <c r="C12" s="53">
        <v>46.982674149667602</v>
      </c>
      <c r="D12" s="53">
        <v>0</v>
      </c>
      <c r="E12" s="53">
        <v>32.776271727174098</v>
      </c>
      <c r="F12" s="53">
        <v>46.982674149667602</v>
      </c>
      <c r="G12" s="53">
        <f>G11</f>
        <v>32.776271727174098</v>
      </c>
      <c r="H12" s="54" t="s">
        <v>185</v>
      </c>
      <c r="I12" s="55">
        <v>6.0300381899990603</v>
      </c>
      <c r="J12" s="55">
        <v>4.1184122348646897</v>
      </c>
      <c r="K12" s="55">
        <v>0.83777552039159697</v>
      </c>
      <c r="L12" s="55">
        <v>40.114860439276903</v>
      </c>
      <c r="M12" s="55">
        <v>27.812994997425101</v>
      </c>
      <c r="N12" s="56">
        <v>0.83777552039159697</v>
      </c>
      <c r="O12" s="56">
        <f>O11</f>
        <v>0.84486449488437976</v>
      </c>
      <c r="P12" s="56">
        <f t="shared" si="0"/>
        <v>4.9632767297489977</v>
      </c>
    </row>
    <row r="15" spans="1:16" x14ac:dyDescent="0.25">
      <c r="A15" s="25" t="s">
        <v>38</v>
      </c>
      <c r="B15" s="27" t="s">
        <v>38</v>
      </c>
      <c r="C15" s="27" t="s">
        <v>38</v>
      </c>
      <c r="D15" s="27" t="s">
        <v>38</v>
      </c>
      <c r="E15" s="27" t="s">
        <v>38</v>
      </c>
      <c r="F15" s="27" t="s">
        <v>38</v>
      </c>
      <c r="G15" s="27" t="s">
        <v>38</v>
      </c>
      <c r="H15" s="27" t="s">
        <v>38</v>
      </c>
      <c r="I15" s="27" t="s">
        <v>38</v>
      </c>
      <c r="J15" s="27" t="s">
        <v>38</v>
      </c>
      <c r="K15" s="27" t="s">
        <v>38</v>
      </c>
      <c r="L15" s="27" t="s">
        <v>38</v>
      </c>
      <c r="M15" s="27" t="s">
        <v>38</v>
      </c>
      <c r="N15" s="27" t="s">
        <v>38</v>
      </c>
      <c r="O15" s="27" t="s">
        <v>38</v>
      </c>
      <c r="P15" s="26" t="s">
        <v>38</v>
      </c>
    </row>
    <row r="16" spans="1:16" x14ac:dyDescent="0.25">
      <c r="A16" s="11" t="s">
        <v>212</v>
      </c>
      <c r="B16" s="11" t="s">
        <v>213</v>
      </c>
      <c r="C16" s="9" t="s">
        <v>214</v>
      </c>
      <c r="D16" s="9" t="s">
        <v>215</v>
      </c>
      <c r="E16" s="9" t="s">
        <v>216</v>
      </c>
      <c r="F16" s="8" t="s">
        <v>20</v>
      </c>
      <c r="G16" s="26"/>
      <c r="H16" s="7" t="s">
        <v>19</v>
      </c>
      <c r="I16" s="27"/>
      <c r="J16" s="26"/>
      <c r="K16" s="7" t="s">
        <v>20</v>
      </c>
      <c r="L16" s="27"/>
      <c r="M16" s="26"/>
      <c r="N16" s="6" t="s">
        <v>217</v>
      </c>
      <c r="O16" s="26"/>
      <c r="P16" s="5" t="s">
        <v>218</v>
      </c>
    </row>
    <row r="17" spans="1:16" ht="30" x14ac:dyDescent="0.25">
      <c r="A17" s="10"/>
      <c r="B17" s="10"/>
      <c r="C17" s="10"/>
      <c r="D17" s="10"/>
      <c r="E17" s="10"/>
      <c r="F17" s="50" t="s">
        <v>219</v>
      </c>
      <c r="G17" s="50" t="s">
        <v>220</v>
      </c>
      <c r="H17" s="51" t="s">
        <v>221</v>
      </c>
      <c r="I17" s="51" t="s">
        <v>219</v>
      </c>
      <c r="J17" s="51" t="s">
        <v>220</v>
      </c>
      <c r="K17" s="51" t="s">
        <v>221</v>
      </c>
      <c r="L17" s="51" t="s">
        <v>219</v>
      </c>
      <c r="M17" s="51" t="s">
        <v>220</v>
      </c>
      <c r="N17" s="52" t="s">
        <v>219</v>
      </c>
      <c r="O17" s="52" t="s">
        <v>220</v>
      </c>
      <c r="P17" s="10"/>
    </row>
    <row r="18" spans="1:16" x14ac:dyDescent="0.25">
      <c r="A18" s="37" t="s">
        <v>224</v>
      </c>
      <c r="B18" s="37" t="s">
        <v>29</v>
      </c>
      <c r="C18" s="53">
        <v>49.863897261884198</v>
      </c>
      <c r="D18" s="53">
        <v>6.5824855546310497</v>
      </c>
      <c r="E18" s="53">
        <v>6.5824855546310497</v>
      </c>
      <c r="F18" s="53">
        <v>49.863897261884198</v>
      </c>
      <c r="G18" s="53">
        <v>6.5824855546310497</v>
      </c>
      <c r="H18" s="54" t="s">
        <v>185</v>
      </c>
      <c r="I18" s="55">
        <v>4.8017115566659196</v>
      </c>
      <c r="J18" s="55">
        <v>0.63726418807603302</v>
      </c>
      <c r="K18" s="55">
        <v>1.9689495624064299</v>
      </c>
      <c r="L18" s="55">
        <v>43.093236142811797</v>
      </c>
      <c r="M18" s="55">
        <v>5.6839101591986099</v>
      </c>
      <c r="N18" s="56">
        <v>1.9689495624064299</v>
      </c>
      <c r="O18" s="56">
        <v>0.261311207356409</v>
      </c>
      <c r="P18" s="56">
        <f t="shared" ref="P18:P24" si="1">(E18-M18)</f>
        <v>0.89857539543243981</v>
      </c>
    </row>
    <row r="19" spans="1:16" x14ac:dyDescent="0.25">
      <c r="A19" s="37" t="s">
        <v>29</v>
      </c>
      <c r="B19" s="37" t="s">
        <v>40</v>
      </c>
      <c r="C19" s="53">
        <v>49.332629235811602</v>
      </c>
      <c r="D19" s="53">
        <v>6.4460956833612704</v>
      </c>
      <c r="E19" s="53">
        <v>13.028581237992301</v>
      </c>
      <c r="F19" s="53">
        <v>49.332629235811602</v>
      </c>
      <c r="G19" s="53">
        <v>13.028581237992301</v>
      </c>
      <c r="H19" s="54" t="s">
        <v>185</v>
      </c>
      <c r="I19" s="55">
        <v>4.8017115566659196</v>
      </c>
      <c r="J19" s="55">
        <v>1.27452837615207</v>
      </c>
      <c r="K19" s="55">
        <v>1.9689495624064299</v>
      </c>
      <c r="L19" s="55">
        <v>42.561968116739301</v>
      </c>
      <c r="M19" s="55">
        <v>11.2314304471274</v>
      </c>
      <c r="N19" s="56">
        <v>1.9689495624064299</v>
      </c>
      <c r="O19" s="56">
        <f>(O18+0.261311207356409)</f>
        <v>0.52262241471281801</v>
      </c>
      <c r="P19" s="56">
        <f t="shared" si="1"/>
        <v>1.7971507908649009</v>
      </c>
    </row>
    <row r="20" spans="1:16" x14ac:dyDescent="0.25">
      <c r="A20" s="37" t="s">
        <v>40</v>
      </c>
      <c r="B20" s="37" t="s">
        <v>41</v>
      </c>
      <c r="C20" s="53">
        <v>47.808533620423397</v>
      </c>
      <c r="D20" s="53">
        <v>1.06334190608615</v>
      </c>
      <c r="E20" s="53">
        <v>14.0919231440785</v>
      </c>
      <c r="F20" s="53">
        <v>47.808533620423397</v>
      </c>
      <c r="G20" s="53">
        <v>14.0919231440785</v>
      </c>
      <c r="H20" s="54" t="s">
        <v>185</v>
      </c>
      <c r="I20" s="55">
        <v>4.8017115566659196</v>
      </c>
      <c r="J20" s="55">
        <v>1.3910824602851599</v>
      </c>
      <c r="K20" s="55">
        <v>1.9689495624064299</v>
      </c>
      <c r="L20" s="55">
        <v>41.037872501351004</v>
      </c>
      <c r="M20" s="55">
        <v>12.1168719489787</v>
      </c>
      <c r="N20" s="56">
        <v>1.9689495624064299</v>
      </c>
      <c r="O20" s="56">
        <f>(O19+0.0613463201018321)</f>
        <v>0.58396873481465006</v>
      </c>
      <c r="P20" s="56">
        <f t="shared" si="1"/>
        <v>1.9750511950998</v>
      </c>
    </row>
    <row r="21" spans="1:16" x14ac:dyDescent="0.25">
      <c r="A21" s="37" t="s">
        <v>41</v>
      </c>
      <c r="B21" s="37" t="s">
        <v>42</v>
      </c>
      <c r="C21" s="53">
        <v>20.448749854815201</v>
      </c>
      <c r="D21" s="53">
        <v>0.561829610032205</v>
      </c>
      <c r="E21" s="53">
        <v>14.6537527541107</v>
      </c>
      <c r="F21" s="53">
        <v>20.448749854815201</v>
      </c>
      <c r="G21" s="53">
        <v>14.6537527541107</v>
      </c>
      <c r="H21" s="54" t="s">
        <v>185</v>
      </c>
      <c r="I21" s="55">
        <v>2.6800448899995799</v>
      </c>
      <c r="J21" s="55">
        <v>1.4647437565147301</v>
      </c>
      <c r="K21" s="55">
        <v>1.9689495624064299</v>
      </c>
      <c r="L21" s="55">
        <v>15.7997554024092</v>
      </c>
      <c r="M21" s="55">
        <v>12.5509234912605</v>
      </c>
      <c r="N21" s="56">
        <v>1.9689495624064299</v>
      </c>
      <c r="O21" s="56">
        <f>(O20+0.0541167715207671)</f>
        <v>0.63808550633541716</v>
      </c>
      <c r="P21" s="56">
        <f t="shared" si="1"/>
        <v>2.1028292628502001</v>
      </c>
    </row>
    <row r="22" spans="1:16" x14ac:dyDescent="0.25">
      <c r="A22" s="37" t="s">
        <v>42</v>
      </c>
      <c r="B22" s="37" t="s">
        <v>43</v>
      </c>
      <c r="C22" s="53">
        <v>20.433739389591398</v>
      </c>
      <c r="D22" s="53">
        <v>2.4274039348761498</v>
      </c>
      <c r="E22" s="53">
        <v>17.081156688986798</v>
      </c>
      <c r="F22" s="53">
        <v>20.433739389591398</v>
      </c>
      <c r="G22" s="53">
        <v>17.081156688986798</v>
      </c>
      <c r="H22" s="54" t="s">
        <v>185</v>
      </c>
      <c r="I22" s="55">
        <v>2.6800448899995799</v>
      </c>
      <c r="J22" s="55">
        <v>1.7482898184926201</v>
      </c>
      <c r="K22" s="55">
        <v>1.9689495624064299</v>
      </c>
      <c r="L22" s="55">
        <v>15.784744937185399</v>
      </c>
      <c r="M22" s="55">
        <v>14.5665879910123</v>
      </c>
      <c r="N22" s="56">
        <v>1.9689495624064299</v>
      </c>
      <c r="O22" s="56">
        <f>(O21+0.128193373146495)</f>
        <v>0.7662788794819122</v>
      </c>
      <c r="P22" s="56">
        <f t="shared" si="1"/>
        <v>2.5145686979744983</v>
      </c>
    </row>
    <row r="23" spans="1:16" x14ac:dyDescent="0.25">
      <c r="A23" s="37" t="s">
        <v>43</v>
      </c>
      <c r="B23" s="37" t="s">
        <v>225</v>
      </c>
      <c r="C23" s="53">
        <v>54.132297809481003</v>
      </c>
      <c r="D23" s="53">
        <v>18.0920559114066</v>
      </c>
      <c r="E23" s="53">
        <v>35.173212600393498</v>
      </c>
      <c r="F23" s="53">
        <v>54.132297809481003</v>
      </c>
      <c r="G23" s="53">
        <v>35.173212600393498</v>
      </c>
      <c r="H23" s="54" t="s">
        <v>185</v>
      </c>
      <c r="I23" s="55">
        <v>6.0300448899990604</v>
      </c>
      <c r="J23" s="55">
        <v>3.7583047818256401</v>
      </c>
      <c r="K23" s="55">
        <v>1.9689495624064299</v>
      </c>
      <c r="L23" s="55">
        <v>46.133303357075498</v>
      </c>
      <c r="M23" s="55">
        <v>29.992312418283799</v>
      </c>
      <c r="N23" s="56">
        <v>1.9689495624064299</v>
      </c>
      <c r="O23" s="56">
        <f>(O22+0.656316520802143)</f>
        <v>1.4225954002840551</v>
      </c>
      <c r="P23" s="56">
        <f t="shared" si="1"/>
        <v>5.1809001821096992</v>
      </c>
    </row>
    <row r="24" spans="1:16" x14ac:dyDescent="0.25">
      <c r="A24" s="37" t="s">
        <v>225</v>
      </c>
      <c r="B24" s="37" t="s">
        <v>185</v>
      </c>
      <c r="C24" s="53">
        <v>54.420037658958798</v>
      </c>
      <c r="D24" s="53">
        <v>0</v>
      </c>
      <c r="E24" s="53">
        <v>35.173212600393498</v>
      </c>
      <c r="F24" s="53">
        <v>54.420037658958798</v>
      </c>
      <c r="G24" s="53">
        <f>G23</f>
        <v>35.173212600393498</v>
      </c>
      <c r="H24" s="54" t="s">
        <v>185</v>
      </c>
      <c r="I24" s="55">
        <v>6.0300448899990604</v>
      </c>
      <c r="J24" s="55">
        <v>3.7583047818256401</v>
      </c>
      <c r="K24" s="55">
        <v>1.9689495624064299</v>
      </c>
      <c r="L24" s="55">
        <v>46.4210432065533</v>
      </c>
      <c r="M24" s="55">
        <v>29.992312418283799</v>
      </c>
      <c r="N24" s="56">
        <v>1.9689495624064299</v>
      </c>
      <c r="O24" s="56">
        <f>O23</f>
        <v>1.4225954002840551</v>
      </c>
      <c r="P24" s="56">
        <f t="shared" si="1"/>
        <v>5.1809001821096992</v>
      </c>
    </row>
    <row r="27" spans="1:16" x14ac:dyDescent="0.25">
      <c r="A27" s="25" t="s">
        <v>45</v>
      </c>
      <c r="B27" s="27" t="s">
        <v>45</v>
      </c>
      <c r="C27" s="27" t="s">
        <v>45</v>
      </c>
      <c r="D27" s="27" t="s">
        <v>45</v>
      </c>
      <c r="E27" s="27" t="s">
        <v>45</v>
      </c>
      <c r="F27" s="27" t="s">
        <v>45</v>
      </c>
      <c r="G27" s="27" t="s">
        <v>45</v>
      </c>
      <c r="H27" s="27" t="s">
        <v>45</v>
      </c>
      <c r="I27" s="27" t="s">
        <v>45</v>
      </c>
      <c r="J27" s="27" t="s">
        <v>45</v>
      </c>
      <c r="K27" s="27" t="s">
        <v>45</v>
      </c>
      <c r="L27" s="27" t="s">
        <v>45</v>
      </c>
      <c r="M27" s="27" t="s">
        <v>45</v>
      </c>
      <c r="N27" s="27" t="s">
        <v>45</v>
      </c>
      <c r="O27" s="27" t="s">
        <v>45</v>
      </c>
      <c r="P27" s="26" t="s">
        <v>45</v>
      </c>
    </row>
    <row r="28" spans="1:16" x14ac:dyDescent="0.25">
      <c r="A28" s="11" t="s">
        <v>212</v>
      </c>
      <c r="B28" s="11" t="s">
        <v>213</v>
      </c>
      <c r="C28" s="9" t="s">
        <v>214</v>
      </c>
      <c r="D28" s="9" t="s">
        <v>215</v>
      </c>
      <c r="E28" s="9" t="s">
        <v>216</v>
      </c>
      <c r="F28" s="8" t="s">
        <v>20</v>
      </c>
      <c r="G28" s="26"/>
      <c r="H28" s="7" t="s">
        <v>19</v>
      </c>
      <c r="I28" s="27"/>
      <c r="J28" s="26"/>
      <c r="K28" s="7" t="s">
        <v>20</v>
      </c>
      <c r="L28" s="27"/>
      <c r="M28" s="26"/>
      <c r="N28" s="6" t="s">
        <v>217</v>
      </c>
      <c r="O28" s="26"/>
      <c r="P28" s="5" t="s">
        <v>218</v>
      </c>
    </row>
    <row r="29" spans="1:16" ht="30" x14ac:dyDescent="0.25">
      <c r="A29" s="10"/>
      <c r="B29" s="10"/>
      <c r="C29" s="10"/>
      <c r="D29" s="10"/>
      <c r="E29" s="10"/>
      <c r="F29" s="50" t="s">
        <v>219</v>
      </c>
      <c r="G29" s="50" t="s">
        <v>220</v>
      </c>
      <c r="H29" s="51" t="s">
        <v>221</v>
      </c>
      <c r="I29" s="51" t="s">
        <v>219</v>
      </c>
      <c r="J29" s="51" t="s">
        <v>220</v>
      </c>
      <c r="K29" s="51" t="s">
        <v>221</v>
      </c>
      <c r="L29" s="51" t="s">
        <v>219</v>
      </c>
      <c r="M29" s="51" t="s">
        <v>220</v>
      </c>
      <c r="N29" s="52" t="s">
        <v>219</v>
      </c>
      <c r="O29" s="52" t="s">
        <v>220</v>
      </c>
      <c r="P29" s="10"/>
    </row>
    <row r="30" spans="1:16" x14ac:dyDescent="0.25">
      <c r="A30" s="37" t="s">
        <v>226</v>
      </c>
      <c r="B30" s="37" t="s">
        <v>46</v>
      </c>
      <c r="C30" s="53">
        <v>64.234516645740598</v>
      </c>
      <c r="D30" s="53">
        <v>7.9416127129705796</v>
      </c>
      <c r="E30" s="53">
        <v>7.9416127129705796</v>
      </c>
      <c r="F30" s="53">
        <v>64.234516645740598</v>
      </c>
      <c r="G30" s="53">
        <v>7.9416127129705796</v>
      </c>
      <c r="H30" s="54" t="s">
        <v>185</v>
      </c>
      <c r="I30" s="55">
        <v>6.70003684999896</v>
      </c>
      <c r="J30" s="55">
        <v>0.87028482968170295</v>
      </c>
      <c r="K30" s="55">
        <v>1.9689495624064299</v>
      </c>
      <c r="L30" s="55">
        <v>55.565530233335302</v>
      </c>
      <c r="M30" s="55">
        <v>6.7059692473904597</v>
      </c>
      <c r="N30" s="56">
        <v>1.9689495624064299</v>
      </c>
      <c r="O30" s="56">
        <v>0.365358635898414</v>
      </c>
      <c r="P30" s="56">
        <f t="shared" ref="P30:P35" si="2">(E30-M30)</f>
        <v>1.2356434655801198</v>
      </c>
    </row>
    <row r="31" spans="1:16" x14ac:dyDescent="0.25">
      <c r="A31" s="37" t="s">
        <v>46</v>
      </c>
      <c r="B31" s="37" t="s">
        <v>47</v>
      </c>
      <c r="C31" s="53">
        <v>21.3615708125695</v>
      </c>
      <c r="D31" s="53">
        <v>3.4830127430218698</v>
      </c>
      <c r="E31" s="53">
        <v>11.4246254559925</v>
      </c>
      <c r="F31" s="53">
        <v>21.3615708125695</v>
      </c>
      <c r="G31" s="53">
        <v>11.4246254559925</v>
      </c>
      <c r="H31" s="54" t="s">
        <v>185</v>
      </c>
      <c r="I31" s="55">
        <v>2.6800448899995799</v>
      </c>
      <c r="J31" s="55">
        <v>1.2735297269038599</v>
      </c>
      <c r="K31" s="55">
        <v>1.9689495624064299</v>
      </c>
      <c r="L31" s="55">
        <v>16.7125763601634</v>
      </c>
      <c r="M31" s="55">
        <v>9.6034269485229107</v>
      </c>
      <c r="N31" s="56">
        <v>1.9689495624064299</v>
      </c>
      <c r="O31" s="56">
        <f>(O30+0.182310144667262)</f>
        <v>0.54766878056567603</v>
      </c>
      <c r="P31" s="56">
        <f t="shared" si="2"/>
        <v>1.8211985074695889</v>
      </c>
    </row>
    <row r="32" spans="1:16" x14ac:dyDescent="0.25">
      <c r="A32" s="37" t="s">
        <v>47</v>
      </c>
      <c r="B32" s="37" t="s">
        <v>48</v>
      </c>
      <c r="C32" s="53">
        <v>53.871504436702899</v>
      </c>
      <c r="D32" s="53">
        <v>5.4874033701890896</v>
      </c>
      <c r="E32" s="53">
        <v>16.912028826181501</v>
      </c>
      <c r="F32" s="53">
        <v>53.871504436702899</v>
      </c>
      <c r="G32" s="53">
        <v>16.912028826181501</v>
      </c>
      <c r="H32" s="54" t="s">
        <v>185</v>
      </c>
      <c r="I32" s="55">
        <v>6.0300448899990604</v>
      </c>
      <c r="J32" s="55">
        <v>1.86049567456347</v>
      </c>
      <c r="K32" s="55">
        <v>1.9689495624064299</v>
      </c>
      <c r="L32" s="55">
        <v>45.872509984297501</v>
      </c>
      <c r="M32" s="55">
        <v>14.3222934480377</v>
      </c>
      <c r="N32" s="56">
        <v>1.9689495624064299</v>
      </c>
      <c r="O32" s="56">
        <f>(O31+0.181570923014677)</f>
        <v>0.72923970358035306</v>
      </c>
      <c r="P32" s="56">
        <f t="shared" si="2"/>
        <v>2.5897353781438017</v>
      </c>
    </row>
    <row r="33" spans="1:16" x14ac:dyDescent="0.25">
      <c r="A33" s="37" t="s">
        <v>48</v>
      </c>
      <c r="B33" s="37" t="s">
        <v>227</v>
      </c>
      <c r="C33" s="53">
        <v>65.138965798203301</v>
      </c>
      <c r="D33" s="53">
        <v>5.0493803346404897</v>
      </c>
      <c r="E33" s="53">
        <v>21.961409160822001</v>
      </c>
      <c r="F33" s="53">
        <v>65.138965798203301</v>
      </c>
      <c r="G33" s="53">
        <v>21.961409160822001</v>
      </c>
      <c r="H33" s="54" t="s">
        <v>185</v>
      </c>
      <c r="I33" s="55">
        <v>6.70003684999896</v>
      </c>
      <c r="J33" s="55">
        <v>2.3816102845543101</v>
      </c>
      <c r="K33" s="55">
        <v>1.9689495624064299</v>
      </c>
      <c r="L33" s="55">
        <v>56.469979385797899</v>
      </c>
      <c r="M33" s="55">
        <v>18.631787436631001</v>
      </c>
      <c r="N33" s="56">
        <v>1.9689495624064299</v>
      </c>
      <c r="O33" s="56">
        <f>(O32+0.218771736056367)</f>
        <v>0.94801143963672008</v>
      </c>
      <c r="P33" s="56">
        <f t="shared" si="2"/>
        <v>3.329621724191</v>
      </c>
    </row>
    <row r="34" spans="1:16" x14ac:dyDescent="0.25">
      <c r="A34" s="37" t="s">
        <v>227</v>
      </c>
      <c r="B34" s="37" t="s">
        <v>228</v>
      </c>
      <c r="C34" s="53">
        <v>25.750062003381</v>
      </c>
      <c r="D34" s="53">
        <v>5.4340926871709501</v>
      </c>
      <c r="E34" s="53">
        <v>27.395501847993</v>
      </c>
      <c r="F34" s="53">
        <v>25.750062003381</v>
      </c>
      <c r="G34" s="53">
        <v>27.395501847993</v>
      </c>
      <c r="H34" s="54" t="s">
        <v>185</v>
      </c>
      <c r="I34" s="55">
        <v>2.6800448899995799</v>
      </c>
      <c r="J34" s="55">
        <v>2.94778916480097</v>
      </c>
      <c r="K34" s="55">
        <v>1.9689495624064299</v>
      </c>
      <c r="L34" s="55">
        <v>21.101067550974999</v>
      </c>
      <c r="M34" s="55">
        <v>23.243727381824201</v>
      </c>
      <c r="N34" s="56">
        <v>1.9689495624064299</v>
      </c>
      <c r="O34" s="56">
        <f>(O33+0.255973861731098)</f>
        <v>1.2039853013678181</v>
      </c>
      <c r="P34" s="56">
        <f t="shared" si="2"/>
        <v>4.1517744661687992</v>
      </c>
    </row>
    <row r="35" spans="1:16" x14ac:dyDescent="0.25">
      <c r="A35" s="37" t="s">
        <v>228</v>
      </c>
      <c r="B35" s="37" t="s">
        <v>185</v>
      </c>
      <c r="C35" s="53">
        <v>57.847961217607299</v>
      </c>
      <c r="D35" s="53">
        <v>0</v>
      </c>
      <c r="E35" s="53">
        <v>27.395501847993</v>
      </c>
      <c r="F35" s="53">
        <v>57.847961217607299</v>
      </c>
      <c r="G35" s="53">
        <f>G34</f>
        <v>27.395501847993</v>
      </c>
      <c r="H35" s="54" t="s">
        <v>185</v>
      </c>
      <c r="I35" s="55">
        <v>6.0300448899990604</v>
      </c>
      <c r="J35" s="55">
        <v>2.94778916480097</v>
      </c>
      <c r="K35" s="55">
        <v>1.9689495624064299</v>
      </c>
      <c r="L35" s="55">
        <v>49.848966765201801</v>
      </c>
      <c r="M35" s="55">
        <v>23.243727381824201</v>
      </c>
      <c r="N35" s="56">
        <v>1.9689495624064299</v>
      </c>
      <c r="O35" s="56">
        <f>O34</f>
        <v>1.2039853013678181</v>
      </c>
      <c r="P35" s="56">
        <f t="shared" si="2"/>
        <v>4.1517744661687992</v>
      </c>
    </row>
    <row r="38" spans="1:16" x14ac:dyDescent="0.25">
      <c r="A38" s="25" t="s">
        <v>50</v>
      </c>
      <c r="B38" s="27" t="s">
        <v>50</v>
      </c>
      <c r="C38" s="27" t="s">
        <v>50</v>
      </c>
      <c r="D38" s="27" t="s">
        <v>50</v>
      </c>
      <c r="E38" s="27" t="s">
        <v>50</v>
      </c>
      <c r="F38" s="27" t="s">
        <v>50</v>
      </c>
      <c r="G38" s="27" t="s">
        <v>50</v>
      </c>
      <c r="H38" s="27" t="s">
        <v>50</v>
      </c>
      <c r="I38" s="27" t="s">
        <v>50</v>
      </c>
      <c r="J38" s="27" t="s">
        <v>50</v>
      </c>
      <c r="K38" s="27" t="s">
        <v>50</v>
      </c>
      <c r="L38" s="27" t="s">
        <v>50</v>
      </c>
      <c r="M38" s="27" t="s">
        <v>50</v>
      </c>
      <c r="N38" s="27" t="s">
        <v>50</v>
      </c>
      <c r="O38" s="27" t="s">
        <v>50</v>
      </c>
      <c r="P38" s="26" t="s">
        <v>50</v>
      </c>
    </row>
    <row r="39" spans="1:16" x14ac:dyDescent="0.25">
      <c r="A39" s="11" t="s">
        <v>212</v>
      </c>
      <c r="B39" s="11" t="s">
        <v>213</v>
      </c>
      <c r="C39" s="9" t="s">
        <v>214</v>
      </c>
      <c r="D39" s="9" t="s">
        <v>215</v>
      </c>
      <c r="E39" s="9" t="s">
        <v>216</v>
      </c>
      <c r="F39" s="8" t="s">
        <v>20</v>
      </c>
      <c r="G39" s="26"/>
      <c r="H39" s="7" t="s">
        <v>19</v>
      </c>
      <c r="I39" s="27"/>
      <c r="J39" s="26"/>
      <c r="K39" s="7" t="s">
        <v>20</v>
      </c>
      <c r="L39" s="27"/>
      <c r="M39" s="26"/>
      <c r="N39" s="6" t="s">
        <v>217</v>
      </c>
      <c r="O39" s="26"/>
      <c r="P39" s="5" t="s">
        <v>218</v>
      </c>
    </row>
    <row r="40" spans="1:16" ht="30" x14ac:dyDescent="0.25">
      <c r="A40" s="10"/>
      <c r="B40" s="10"/>
      <c r="C40" s="10"/>
      <c r="D40" s="10"/>
      <c r="E40" s="10"/>
      <c r="F40" s="50" t="s">
        <v>219</v>
      </c>
      <c r="G40" s="50" t="s">
        <v>220</v>
      </c>
      <c r="H40" s="51" t="s">
        <v>221</v>
      </c>
      <c r="I40" s="51" t="s">
        <v>219</v>
      </c>
      <c r="J40" s="51" t="s">
        <v>220</v>
      </c>
      <c r="K40" s="51" t="s">
        <v>221</v>
      </c>
      <c r="L40" s="51" t="s">
        <v>219</v>
      </c>
      <c r="M40" s="51" t="s">
        <v>220</v>
      </c>
      <c r="N40" s="52" t="s">
        <v>219</v>
      </c>
      <c r="O40" s="52" t="s">
        <v>220</v>
      </c>
      <c r="P40" s="10"/>
    </row>
    <row r="41" spans="1:16" x14ac:dyDescent="0.25">
      <c r="A41" s="37" t="s">
        <v>226</v>
      </c>
      <c r="B41" s="37" t="s">
        <v>229</v>
      </c>
      <c r="C41" s="53">
        <v>59.594250822228297</v>
      </c>
      <c r="D41" s="53">
        <v>7.43928728178326</v>
      </c>
      <c r="E41" s="53">
        <v>7.43928728178326</v>
      </c>
      <c r="F41" s="53">
        <v>59.594250822228297</v>
      </c>
      <c r="G41" s="53">
        <v>7.43928728178326</v>
      </c>
      <c r="H41" s="54" t="s">
        <v>185</v>
      </c>
      <c r="I41" s="55">
        <v>6.70003684999896</v>
      </c>
      <c r="J41" s="55">
        <v>0.86468211404266504</v>
      </c>
      <c r="K41" s="55">
        <v>1.9689495624064299</v>
      </c>
      <c r="L41" s="55">
        <v>50.925264409822901</v>
      </c>
      <c r="M41" s="55">
        <v>6.2115986359733704</v>
      </c>
      <c r="N41" s="56">
        <v>1.9689495624064299</v>
      </c>
      <c r="O41" s="56">
        <v>0.36300653176722403</v>
      </c>
      <c r="P41" s="56">
        <f t="shared" ref="P41:P46" si="3">(E41-M41)</f>
        <v>1.2276886458098897</v>
      </c>
    </row>
    <row r="42" spans="1:16" x14ac:dyDescent="0.25">
      <c r="A42" s="37" t="s">
        <v>229</v>
      </c>
      <c r="B42" s="37" t="s">
        <v>51</v>
      </c>
      <c r="C42" s="53">
        <v>21.107225081106201</v>
      </c>
      <c r="D42" s="53">
        <v>3.0481747880585801</v>
      </c>
      <c r="E42" s="53">
        <v>10.487462069841801</v>
      </c>
      <c r="F42" s="53">
        <v>21.107225081106201</v>
      </c>
      <c r="G42" s="53">
        <v>10.487462069841801</v>
      </c>
      <c r="H42" s="54" t="s">
        <v>185</v>
      </c>
      <c r="I42" s="55">
        <v>2.6800448899995799</v>
      </c>
      <c r="J42" s="55">
        <v>1.26792701126482</v>
      </c>
      <c r="K42" s="55">
        <v>1.9689495624064299</v>
      </c>
      <c r="L42" s="55">
        <v>16.4582306287002</v>
      </c>
      <c r="M42" s="55">
        <v>8.6742183821425307</v>
      </c>
      <c r="N42" s="56">
        <v>1.9689495624064299</v>
      </c>
      <c r="O42" s="56">
        <f>(O41+0.182310144667262)</f>
        <v>0.545316676434486</v>
      </c>
      <c r="P42" s="56">
        <f t="shared" si="3"/>
        <v>1.8132436876992699</v>
      </c>
    </row>
    <row r="43" spans="1:16" x14ac:dyDescent="0.25">
      <c r="A43" s="37" t="s">
        <v>51</v>
      </c>
      <c r="B43" s="37" t="s">
        <v>48</v>
      </c>
      <c r="C43" s="53">
        <v>44.733350340959099</v>
      </c>
      <c r="D43" s="53">
        <v>5.01210343510696</v>
      </c>
      <c r="E43" s="53">
        <v>15.4995655049488</v>
      </c>
      <c r="F43" s="53">
        <v>44.733350340959099</v>
      </c>
      <c r="G43" s="53">
        <v>15.4995655049488</v>
      </c>
      <c r="H43" s="54" t="s">
        <v>185</v>
      </c>
      <c r="I43" s="55">
        <v>6.0300448899990604</v>
      </c>
      <c r="J43" s="55">
        <v>1.8624966269976899</v>
      </c>
      <c r="K43" s="55">
        <v>1.9689495624064299</v>
      </c>
      <c r="L43" s="55">
        <v>36.734355888553701</v>
      </c>
      <c r="M43" s="55">
        <v>12.9078291743708</v>
      </c>
      <c r="N43" s="56">
        <v>1.9689495624064299</v>
      </c>
      <c r="O43" s="56">
        <f>(O42+0.183923027145867)</f>
        <v>0.72923970358035306</v>
      </c>
      <c r="P43" s="56">
        <f t="shared" si="3"/>
        <v>2.5917363305779997</v>
      </c>
    </row>
    <row r="44" spans="1:16" x14ac:dyDescent="0.25">
      <c r="A44" s="37" t="s">
        <v>48</v>
      </c>
      <c r="B44" s="37" t="s">
        <v>227</v>
      </c>
      <c r="C44" s="53">
        <v>62.578703167848801</v>
      </c>
      <c r="D44" s="53">
        <v>4.8251931185568298</v>
      </c>
      <c r="E44" s="53">
        <v>20.324758623505598</v>
      </c>
      <c r="F44" s="53">
        <v>62.578703167848801</v>
      </c>
      <c r="G44" s="53">
        <v>20.324758623505598</v>
      </c>
      <c r="H44" s="54" t="s">
        <v>185</v>
      </c>
      <c r="I44" s="55">
        <v>6.70003684999896</v>
      </c>
      <c r="J44" s="55">
        <v>2.3836112369885201</v>
      </c>
      <c r="K44" s="55">
        <v>1.9689495624064299</v>
      </c>
      <c r="L44" s="55">
        <v>53.909716755443398</v>
      </c>
      <c r="M44" s="55">
        <v>16.9931359468804</v>
      </c>
      <c r="N44" s="56">
        <v>1.9689495624064299</v>
      </c>
      <c r="O44" s="56">
        <f>(O43+0.218771736056367)</f>
        <v>0.94801143963672008</v>
      </c>
      <c r="P44" s="56">
        <f t="shared" si="3"/>
        <v>3.331622676625198</v>
      </c>
    </row>
    <row r="45" spans="1:16" x14ac:dyDescent="0.25">
      <c r="A45" s="37" t="s">
        <v>227</v>
      </c>
      <c r="B45" s="37" t="s">
        <v>230</v>
      </c>
      <c r="C45" s="53">
        <v>24.274946673473799</v>
      </c>
      <c r="D45" s="53">
        <v>4.8075913703139896</v>
      </c>
      <c r="E45" s="53">
        <v>25.132349993819599</v>
      </c>
      <c r="F45" s="53">
        <v>24.274946673473799</v>
      </c>
      <c r="G45" s="53">
        <v>25.132349993819599</v>
      </c>
      <c r="H45" s="54" t="s">
        <v>185</v>
      </c>
      <c r="I45" s="55">
        <v>2.6800448899995799</v>
      </c>
      <c r="J45" s="55">
        <v>2.9445875872806999</v>
      </c>
      <c r="K45" s="55">
        <v>1.9689495624064299</v>
      </c>
      <c r="L45" s="55">
        <v>19.625952221067799</v>
      </c>
      <c r="M45" s="55">
        <v>20.986129209302302</v>
      </c>
      <c r="N45" s="56">
        <v>1.9689495624064299</v>
      </c>
      <c r="O45" s="56">
        <f>(O44+0.253621757599909)</f>
        <v>1.201633197236629</v>
      </c>
      <c r="P45" s="56">
        <f t="shared" si="3"/>
        <v>4.1462207845172969</v>
      </c>
    </row>
    <row r="46" spans="1:16" x14ac:dyDescent="0.25">
      <c r="A46" s="37" t="s">
        <v>230</v>
      </c>
      <c r="B46" s="37" t="s">
        <v>185</v>
      </c>
      <c r="C46" s="53">
        <v>50.370896131079498</v>
      </c>
      <c r="D46" s="53">
        <v>0</v>
      </c>
      <c r="E46" s="53">
        <v>25.132349993819599</v>
      </c>
      <c r="F46" s="53">
        <v>50.370896131079498</v>
      </c>
      <c r="G46" s="53">
        <f>G45</f>
        <v>25.132349993819599</v>
      </c>
      <c r="H46" s="54" t="s">
        <v>185</v>
      </c>
      <c r="I46" s="55">
        <v>6.0300448899990604</v>
      </c>
      <c r="J46" s="55">
        <v>2.9445875872806999</v>
      </c>
      <c r="K46" s="55">
        <v>1.9689495624064299</v>
      </c>
      <c r="L46" s="55">
        <v>42.371901678674</v>
      </c>
      <c r="M46" s="55">
        <v>20.986129209302302</v>
      </c>
      <c r="N46" s="56">
        <v>1.9689495624064299</v>
      </c>
      <c r="O46" s="56">
        <f>O45</f>
        <v>1.201633197236629</v>
      </c>
      <c r="P46" s="56">
        <f t="shared" si="3"/>
        <v>4.1462207845172969</v>
      </c>
    </row>
    <row r="49" spans="1:16" x14ac:dyDescent="0.25">
      <c r="A49" s="25" t="s">
        <v>53</v>
      </c>
      <c r="B49" s="27" t="s">
        <v>53</v>
      </c>
      <c r="C49" s="27" t="s">
        <v>53</v>
      </c>
      <c r="D49" s="27" t="s">
        <v>53</v>
      </c>
      <c r="E49" s="27" t="s">
        <v>53</v>
      </c>
      <c r="F49" s="27" t="s">
        <v>53</v>
      </c>
      <c r="G49" s="27" t="s">
        <v>53</v>
      </c>
      <c r="H49" s="27" t="s">
        <v>53</v>
      </c>
      <c r="I49" s="27" t="s">
        <v>53</v>
      </c>
      <c r="J49" s="27" t="s">
        <v>53</v>
      </c>
      <c r="K49" s="27" t="s">
        <v>53</v>
      </c>
      <c r="L49" s="27" t="s">
        <v>53</v>
      </c>
      <c r="M49" s="27" t="s">
        <v>53</v>
      </c>
      <c r="N49" s="27" t="s">
        <v>53</v>
      </c>
      <c r="O49" s="27" t="s">
        <v>53</v>
      </c>
      <c r="P49" s="26" t="s">
        <v>53</v>
      </c>
    </row>
    <row r="50" spans="1:16" x14ac:dyDescent="0.25">
      <c r="A50" s="11" t="s">
        <v>212</v>
      </c>
      <c r="B50" s="11" t="s">
        <v>213</v>
      </c>
      <c r="C50" s="9" t="s">
        <v>214</v>
      </c>
      <c r="D50" s="9" t="s">
        <v>215</v>
      </c>
      <c r="E50" s="9" t="s">
        <v>216</v>
      </c>
      <c r="F50" s="8" t="s">
        <v>20</v>
      </c>
      <c r="G50" s="26"/>
      <c r="H50" s="7" t="s">
        <v>19</v>
      </c>
      <c r="I50" s="27"/>
      <c r="J50" s="26"/>
      <c r="K50" s="7" t="s">
        <v>20</v>
      </c>
      <c r="L50" s="27"/>
      <c r="M50" s="26"/>
      <c r="N50" s="6" t="s">
        <v>217</v>
      </c>
      <c r="O50" s="26"/>
      <c r="P50" s="5" t="s">
        <v>218</v>
      </c>
    </row>
    <row r="51" spans="1:16" ht="30" x14ac:dyDescent="0.25">
      <c r="A51" s="10"/>
      <c r="B51" s="10"/>
      <c r="C51" s="10"/>
      <c r="D51" s="10"/>
      <c r="E51" s="10"/>
      <c r="F51" s="50" t="s">
        <v>219</v>
      </c>
      <c r="G51" s="50" t="s">
        <v>220</v>
      </c>
      <c r="H51" s="51" t="s">
        <v>221</v>
      </c>
      <c r="I51" s="51" t="s">
        <v>219</v>
      </c>
      <c r="J51" s="51" t="s">
        <v>220</v>
      </c>
      <c r="K51" s="51" t="s">
        <v>221</v>
      </c>
      <c r="L51" s="51" t="s">
        <v>219</v>
      </c>
      <c r="M51" s="51" t="s">
        <v>220</v>
      </c>
      <c r="N51" s="52" t="s">
        <v>219</v>
      </c>
      <c r="O51" s="52" t="s">
        <v>220</v>
      </c>
      <c r="P51" s="10"/>
    </row>
    <row r="52" spans="1:16" x14ac:dyDescent="0.25">
      <c r="A52" s="37" t="s">
        <v>231</v>
      </c>
      <c r="B52" s="37" t="s">
        <v>57</v>
      </c>
      <c r="C52" s="53">
        <v>14.6692345320524</v>
      </c>
      <c r="D52" s="53">
        <v>7.45310193339769</v>
      </c>
      <c r="E52" s="53">
        <v>7.45310193339769</v>
      </c>
      <c r="F52" s="53">
        <v>14.6692345320524</v>
      </c>
      <c r="G52" s="53">
        <v>7.45310193339769</v>
      </c>
      <c r="H52" s="54" t="s">
        <v>185</v>
      </c>
      <c r="I52" s="55">
        <v>5.6950388599991104</v>
      </c>
      <c r="J52" s="55">
        <v>1.79288070572754</v>
      </c>
      <c r="K52" s="55">
        <v>0.314716610874613</v>
      </c>
      <c r="L52" s="55">
        <v>8.6594790611787005</v>
      </c>
      <c r="M52" s="55">
        <v>4.6400002442840496</v>
      </c>
      <c r="N52" s="56">
        <v>0.314716610874613</v>
      </c>
      <c r="O52" s="56">
        <v>1.0202209833862099</v>
      </c>
      <c r="P52" s="56">
        <f t="shared" ref="P52:P83" si="4">(E52-M52)</f>
        <v>2.8131016891136404</v>
      </c>
    </row>
    <row r="53" spans="1:16" x14ac:dyDescent="0.25">
      <c r="A53" s="37" t="s">
        <v>57</v>
      </c>
      <c r="B53" s="37" t="s">
        <v>58</v>
      </c>
      <c r="C53" s="53">
        <v>32.679933767474999</v>
      </c>
      <c r="D53" s="53">
        <v>1.92018955091188</v>
      </c>
      <c r="E53" s="53">
        <v>9.3732914843095703</v>
      </c>
      <c r="F53" s="53">
        <v>32.679933767474999</v>
      </c>
      <c r="G53" s="53">
        <v>9.3732914843095703</v>
      </c>
      <c r="H53" s="54" t="s">
        <v>185</v>
      </c>
      <c r="I53" s="55">
        <v>5.6950388599991104</v>
      </c>
      <c r="J53" s="55">
        <v>2.1418418307204901</v>
      </c>
      <c r="K53" s="55">
        <v>6.1666941462490898</v>
      </c>
      <c r="L53" s="55">
        <v>20.818200761226802</v>
      </c>
      <c r="M53" s="55">
        <v>5.6670073323343599</v>
      </c>
      <c r="N53" s="56">
        <v>6.1666941462490898</v>
      </c>
      <c r="O53" s="56">
        <f>(O52+0.54422133786863)</f>
        <v>1.56444232125484</v>
      </c>
      <c r="P53" s="56">
        <f t="shared" si="4"/>
        <v>3.7062841519752103</v>
      </c>
    </row>
    <row r="54" spans="1:16" x14ac:dyDescent="0.25">
      <c r="A54" s="37" t="s">
        <v>58</v>
      </c>
      <c r="B54" s="37" t="s">
        <v>232</v>
      </c>
      <c r="C54" s="53">
        <v>13.4047076236949</v>
      </c>
      <c r="D54" s="53">
        <v>0.88125441129132598</v>
      </c>
      <c r="E54" s="53">
        <v>10.2545458956009</v>
      </c>
      <c r="F54" s="53">
        <v>13.4047076236949</v>
      </c>
      <c r="G54" s="53">
        <v>10.2545458956009</v>
      </c>
      <c r="H54" s="54" t="s">
        <v>185</v>
      </c>
      <c r="I54" s="55">
        <v>2.6800448899995799</v>
      </c>
      <c r="J54" s="55">
        <v>2.3125715096539499</v>
      </c>
      <c r="K54" s="55">
        <v>6.8946440852750204</v>
      </c>
      <c r="L54" s="55">
        <v>3.8300186484202698</v>
      </c>
      <c r="M54" s="55">
        <v>5.9260658160880597</v>
      </c>
      <c r="N54" s="56">
        <v>6.8946440852750204</v>
      </c>
      <c r="O54" s="56">
        <f>(O53+0.451466248604177)</f>
        <v>2.0159085698590169</v>
      </c>
      <c r="P54" s="56">
        <f t="shared" si="4"/>
        <v>4.3284800795128406</v>
      </c>
    </row>
    <row r="55" spans="1:16" x14ac:dyDescent="0.25">
      <c r="A55" s="37" t="s">
        <v>232</v>
      </c>
      <c r="B55" s="37" t="s">
        <v>233</v>
      </c>
      <c r="C55" s="53">
        <v>14.262437263180701</v>
      </c>
      <c r="D55" s="53">
        <v>13.9998651582329</v>
      </c>
      <c r="E55" s="53">
        <v>24.254411053833799</v>
      </c>
      <c r="F55" s="53">
        <v>14.262437263180701</v>
      </c>
      <c r="G55" s="53">
        <v>24.254411053833799</v>
      </c>
      <c r="H55" s="54" t="s">
        <v>185</v>
      </c>
      <c r="I55" s="55">
        <v>2.6800448899995799</v>
      </c>
      <c r="J55" s="55">
        <v>4.7940945452303803</v>
      </c>
      <c r="K55" s="55">
        <v>7.2792221122999798</v>
      </c>
      <c r="L55" s="55">
        <v>4.3031702608811697</v>
      </c>
      <c r="M55" s="55">
        <v>10.6175751524079</v>
      </c>
      <c r="N55" s="56">
        <v>7.2792221122999798</v>
      </c>
      <c r="O55" s="56">
        <f>(O54+6.82683277561753)</f>
        <v>8.8427413454765471</v>
      </c>
      <c r="P55" s="56">
        <f t="shared" si="4"/>
        <v>13.636835901425899</v>
      </c>
    </row>
    <row r="56" spans="1:16" x14ac:dyDescent="0.25">
      <c r="A56" s="37" t="s">
        <v>233</v>
      </c>
      <c r="B56" s="37" t="s">
        <v>234</v>
      </c>
      <c r="C56" s="53">
        <v>15.9772714786025</v>
      </c>
      <c r="D56" s="53">
        <v>16.613606559072</v>
      </c>
      <c r="E56" s="53">
        <v>40.868017612905803</v>
      </c>
      <c r="F56" s="53">
        <v>15.9772714786025</v>
      </c>
      <c r="G56" s="53">
        <v>40.868017612905803</v>
      </c>
      <c r="H56" s="54" t="s">
        <v>185</v>
      </c>
      <c r="I56" s="55">
        <v>2.6800448899995799</v>
      </c>
      <c r="J56" s="55">
        <v>7.2756175478823497</v>
      </c>
      <c r="K56" s="55">
        <v>7.4667366830339397</v>
      </c>
      <c r="L56" s="55">
        <v>5.8304899055690003</v>
      </c>
      <c r="M56" s="55">
        <v>17.836013610505699</v>
      </c>
      <c r="N56" s="56">
        <v>7.4667366830339397</v>
      </c>
      <c r="O56" s="56">
        <f>(O55+6.91364505467827)</f>
        <v>15.756386400154817</v>
      </c>
      <c r="P56" s="56">
        <f t="shared" si="4"/>
        <v>23.032004002400104</v>
      </c>
    </row>
    <row r="57" spans="1:16" x14ac:dyDescent="0.25">
      <c r="A57" s="37" t="s">
        <v>234</v>
      </c>
      <c r="B57" s="37" t="s">
        <v>61</v>
      </c>
      <c r="C57" s="53">
        <v>19.908118688993</v>
      </c>
      <c r="D57" s="53">
        <v>8.7814263202719296</v>
      </c>
      <c r="E57" s="53">
        <v>49.6494439331777</v>
      </c>
      <c r="F57" s="53">
        <v>19.908118688993</v>
      </c>
      <c r="G57" s="53">
        <v>49.6494439331777</v>
      </c>
      <c r="H57" s="54" t="s">
        <v>185</v>
      </c>
      <c r="I57" s="55">
        <v>2.6800448899995799</v>
      </c>
      <c r="J57" s="55">
        <v>8.3506179406255203</v>
      </c>
      <c r="K57" s="55">
        <v>7.4667366350711699</v>
      </c>
      <c r="L57" s="55">
        <v>9.7613371639222493</v>
      </c>
      <c r="M57" s="55">
        <v>22.547435544662999</v>
      </c>
      <c r="N57" s="56">
        <v>7.4667366350711699</v>
      </c>
      <c r="O57" s="56">
        <f>(O56+2.99500395904569)</f>
        <v>18.751390359200506</v>
      </c>
      <c r="P57" s="56">
        <f t="shared" si="4"/>
        <v>27.102008388514701</v>
      </c>
    </row>
    <row r="58" spans="1:16" x14ac:dyDescent="0.25">
      <c r="A58" s="37" t="s">
        <v>61</v>
      </c>
      <c r="B58" s="37" t="s">
        <v>62</v>
      </c>
      <c r="C58" s="53">
        <v>23.8771973796173</v>
      </c>
      <c r="D58" s="53">
        <v>2.1471974055968199</v>
      </c>
      <c r="E58" s="53">
        <v>51.796641338774499</v>
      </c>
      <c r="F58" s="53">
        <v>23.8771973796173</v>
      </c>
      <c r="G58" s="53">
        <v>51.796641338774499</v>
      </c>
      <c r="H58" s="54" t="s">
        <v>185</v>
      </c>
      <c r="I58" s="55">
        <v>2.6800448899995799</v>
      </c>
      <c r="J58" s="55">
        <v>8.5699904260976805</v>
      </c>
      <c r="K58" s="55">
        <v>7.4667366061520903</v>
      </c>
      <c r="L58" s="55">
        <v>13.7304158834656</v>
      </c>
      <c r="M58" s="55">
        <v>24.037396275227199</v>
      </c>
      <c r="N58" s="56">
        <v>7.4667366061520903</v>
      </c>
      <c r="O58" s="56">
        <f>(O57+0.437864186627251)</f>
        <v>19.189254545827758</v>
      </c>
      <c r="P58" s="56">
        <f t="shared" si="4"/>
        <v>27.759245063547301</v>
      </c>
    </row>
    <row r="59" spans="1:16" x14ac:dyDescent="0.25">
      <c r="A59" s="37" t="s">
        <v>62</v>
      </c>
      <c r="B59" s="37" t="s">
        <v>65</v>
      </c>
      <c r="C59" s="53">
        <v>49.3535351902119</v>
      </c>
      <c r="D59" s="53">
        <v>12.894645166003</v>
      </c>
      <c r="E59" s="53">
        <v>64.691286504777594</v>
      </c>
      <c r="F59" s="53">
        <v>49.3535351902119</v>
      </c>
      <c r="G59" s="53">
        <v>64.691286504777594</v>
      </c>
      <c r="H59" s="54" t="s">
        <v>185</v>
      </c>
      <c r="I59" s="55">
        <v>4.8017115566659196</v>
      </c>
      <c r="J59" s="55">
        <v>9.8445188022497305</v>
      </c>
      <c r="K59" s="55">
        <v>7.4667367061880103</v>
      </c>
      <c r="L59" s="55">
        <v>37.085086927357899</v>
      </c>
      <c r="M59" s="55">
        <v>33.675601470225899</v>
      </c>
      <c r="N59" s="56">
        <v>7.4667367061880103</v>
      </c>
      <c r="O59" s="56">
        <f>(O58+1.98191159485235)</f>
        <v>21.171166140680107</v>
      </c>
      <c r="P59" s="56">
        <f t="shared" si="4"/>
        <v>31.015685034551694</v>
      </c>
    </row>
    <row r="60" spans="1:16" x14ac:dyDescent="0.25">
      <c r="A60" s="37" t="s">
        <v>65</v>
      </c>
      <c r="B60" s="37" t="s">
        <v>66</v>
      </c>
      <c r="C60" s="53">
        <v>47.806116758277099</v>
      </c>
      <c r="D60" s="53">
        <v>2.0886686365777298</v>
      </c>
      <c r="E60" s="53">
        <v>66.779955141355302</v>
      </c>
      <c r="F60" s="53">
        <v>47.806116758277099</v>
      </c>
      <c r="G60" s="53">
        <v>66.779955141355302</v>
      </c>
      <c r="H60" s="54" t="s">
        <v>185</v>
      </c>
      <c r="I60" s="55">
        <v>4.8017115566659196</v>
      </c>
      <c r="J60" s="55">
        <v>10.063891290655</v>
      </c>
      <c r="K60" s="55">
        <v>7.4667367061880103</v>
      </c>
      <c r="L60" s="55">
        <v>35.537668495423098</v>
      </c>
      <c r="M60" s="55">
        <v>35.107033428837902</v>
      </c>
      <c r="N60" s="56">
        <v>7.4667367061880103</v>
      </c>
      <c r="O60" s="56">
        <f>(O59+0.437864189560403)</f>
        <v>21.609030330240511</v>
      </c>
      <c r="P60" s="56">
        <f t="shared" si="4"/>
        <v>31.6729217125174</v>
      </c>
    </row>
    <row r="61" spans="1:16" x14ac:dyDescent="0.25">
      <c r="A61" s="37" t="s">
        <v>66</v>
      </c>
      <c r="B61" s="37" t="s">
        <v>235</v>
      </c>
      <c r="C61" s="53">
        <v>23.428476741848399</v>
      </c>
      <c r="D61" s="53">
        <v>3.3258196218545799</v>
      </c>
      <c r="E61" s="53">
        <v>70.105774763209894</v>
      </c>
      <c r="F61" s="53">
        <v>23.428476741848399</v>
      </c>
      <c r="G61" s="53">
        <v>70.105774763209894</v>
      </c>
      <c r="H61" s="54" t="s">
        <v>185</v>
      </c>
      <c r="I61" s="55">
        <v>2.6800448899995799</v>
      </c>
      <c r="J61" s="55">
        <v>10.444717717413001</v>
      </c>
      <c r="K61" s="55">
        <v>7.4667367061880103</v>
      </c>
      <c r="L61" s="55">
        <v>13.2816951456608</v>
      </c>
      <c r="M61" s="55">
        <v>36.991025492956901</v>
      </c>
      <c r="N61" s="56">
        <v>7.4667367061880103</v>
      </c>
      <c r="O61" s="56">
        <f>(O60+1.06100113097758)</f>
        <v>22.670031461218091</v>
      </c>
      <c r="P61" s="56">
        <f t="shared" si="4"/>
        <v>33.114749270252993</v>
      </c>
    </row>
    <row r="62" spans="1:16" x14ac:dyDescent="0.25">
      <c r="A62" s="37" t="s">
        <v>235</v>
      </c>
      <c r="B62" s="37" t="s">
        <v>236</v>
      </c>
      <c r="C62" s="53">
        <v>23.382066100422499</v>
      </c>
      <c r="D62" s="53">
        <v>21.5100527990076</v>
      </c>
      <c r="E62" s="53">
        <v>91.615827562217504</v>
      </c>
      <c r="F62" s="53">
        <v>23.382066100422499</v>
      </c>
      <c r="G62" s="53">
        <v>91.615827562217504</v>
      </c>
      <c r="H62" s="54" t="s">
        <v>185</v>
      </c>
      <c r="I62" s="55">
        <v>2.6800448899995799</v>
      </c>
      <c r="J62" s="55">
        <v>12.926240763708901</v>
      </c>
      <c r="K62" s="55">
        <v>7.4667367061880103</v>
      </c>
      <c r="L62" s="55">
        <v>13.235284504234899</v>
      </c>
      <c r="M62" s="55">
        <v>49.1059101473464</v>
      </c>
      <c r="N62" s="56">
        <v>7.4667367061880103</v>
      </c>
      <c r="O62" s="56">
        <f>(O61+6.9136450983222)</f>
        <v>29.58367655954029</v>
      </c>
      <c r="P62" s="56">
        <f t="shared" si="4"/>
        <v>42.509917414871104</v>
      </c>
    </row>
    <row r="63" spans="1:16" x14ac:dyDescent="0.25">
      <c r="A63" s="37" t="s">
        <v>236</v>
      </c>
      <c r="B63" s="37" t="s">
        <v>237</v>
      </c>
      <c r="C63" s="53">
        <v>23.0796479454341</v>
      </c>
      <c r="D63" s="53">
        <v>22.628893670156302</v>
      </c>
      <c r="E63" s="53">
        <v>114.244721232374</v>
      </c>
      <c r="F63" s="53">
        <v>23.0796479454341</v>
      </c>
      <c r="G63" s="53">
        <v>114.244721232374</v>
      </c>
      <c r="H63" s="54" t="s">
        <v>185</v>
      </c>
      <c r="I63" s="55">
        <v>2.6800448899995799</v>
      </c>
      <c r="J63" s="55">
        <v>15.4077638100048</v>
      </c>
      <c r="K63" s="55">
        <v>7.4667367061880103</v>
      </c>
      <c r="L63" s="55">
        <v>12.932866349246501</v>
      </c>
      <c r="M63" s="55">
        <v>62.339635672884597</v>
      </c>
      <c r="N63" s="56">
        <v>7.4667367061880103</v>
      </c>
      <c r="O63" s="56">
        <f>(O62+6.9136450983222)</f>
        <v>36.497321657862493</v>
      </c>
      <c r="P63" s="56">
        <f t="shared" si="4"/>
        <v>51.905085559489407</v>
      </c>
    </row>
    <row r="64" spans="1:16" x14ac:dyDescent="0.25">
      <c r="A64" s="37" t="s">
        <v>237</v>
      </c>
      <c r="B64" s="37" t="s">
        <v>69</v>
      </c>
      <c r="C64" s="53">
        <v>25.798762382103799</v>
      </c>
      <c r="D64" s="53">
        <v>1.6769733222630101</v>
      </c>
      <c r="E64" s="53">
        <v>115.921694554637</v>
      </c>
      <c r="F64" s="53">
        <v>25.798762382103799</v>
      </c>
      <c r="G64" s="53">
        <v>115.921694554637</v>
      </c>
      <c r="H64" s="54" t="s">
        <v>185</v>
      </c>
      <c r="I64" s="55">
        <v>2.6800448899995799</v>
      </c>
      <c r="J64" s="55">
        <v>15.581823683777399</v>
      </c>
      <c r="K64" s="55">
        <v>7.4667367061880103</v>
      </c>
      <c r="L64" s="55">
        <v>15.6519807859162</v>
      </c>
      <c r="M64" s="55">
        <v>63.357609763298903</v>
      </c>
      <c r="N64" s="56">
        <v>7.4667367061880103</v>
      </c>
      <c r="O64" s="56">
        <f>(O63+0.4849393580762)</f>
        <v>36.98226101593869</v>
      </c>
      <c r="P64" s="56">
        <f t="shared" si="4"/>
        <v>52.564084791338097</v>
      </c>
    </row>
    <row r="65" spans="1:16" x14ac:dyDescent="0.25">
      <c r="A65" s="37" t="s">
        <v>69</v>
      </c>
      <c r="B65" s="37" t="s">
        <v>70</v>
      </c>
      <c r="C65" s="53">
        <v>25.842821465878</v>
      </c>
      <c r="D65" s="53">
        <v>5.4734334754624001</v>
      </c>
      <c r="E65" s="53">
        <v>121.395128030099</v>
      </c>
      <c r="F65" s="53">
        <v>25.842821465878</v>
      </c>
      <c r="G65" s="53">
        <v>121.395128030099</v>
      </c>
      <c r="H65" s="54" t="s">
        <v>185</v>
      </c>
      <c r="I65" s="55">
        <v>2.6800448899995799</v>
      </c>
      <c r="J65" s="55">
        <v>16.102938293768201</v>
      </c>
      <c r="K65" s="55">
        <v>7.4667367061880103</v>
      </c>
      <c r="L65" s="55">
        <v>15.6960398696904</v>
      </c>
      <c r="M65" s="55">
        <v>67.480292876246594</v>
      </c>
      <c r="N65" s="56">
        <v>7.4667367061880103</v>
      </c>
      <c r="O65" s="56">
        <f>(O64+0.829635752523844)</f>
        <v>37.811896768462532</v>
      </c>
      <c r="P65" s="56">
        <f t="shared" si="4"/>
        <v>53.914835153852408</v>
      </c>
    </row>
    <row r="66" spans="1:16" x14ac:dyDescent="0.25">
      <c r="A66" s="37" t="s">
        <v>70</v>
      </c>
      <c r="B66" s="37" t="s">
        <v>72</v>
      </c>
      <c r="C66" s="53">
        <v>72.679178136444506</v>
      </c>
      <c r="D66" s="53">
        <v>27.268880158145802</v>
      </c>
      <c r="E66" s="53">
        <v>148.66400818824499</v>
      </c>
      <c r="F66" s="53">
        <v>72.679178136444506</v>
      </c>
      <c r="G66" s="53">
        <v>148.66400818824499</v>
      </c>
      <c r="H66" s="54" t="s">
        <v>185</v>
      </c>
      <c r="I66" s="55">
        <v>6.70003684999896</v>
      </c>
      <c r="J66" s="55">
        <v>18.584430445603299</v>
      </c>
      <c r="K66" s="55">
        <v>7.4667367061880103</v>
      </c>
      <c r="L66" s="55">
        <v>58.512404580257503</v>
      </c>
      <c r="M66" s="55">
        <v>90.584124001761694</v>
      </c>
      <c r="N66" s="56">
        <v>7.4667367061880103</v>
      </c>
      <c r="O66" s="56">
        <f>(O65+1.68355688079566)</f>
        <v>39.495453649258195</v>
      </c>
      <c r="P66" s="56">
        <f t="shared" si="4"/>
        <v>58.079884186483298</v>
      </c>
    </row>
    <row r="67" spans="1:16" x14ac:dyDescent="0.25">
      <c r="A67" s="37" t="s">
        <v>72</v>
      </c>
      <c r="B67" s="37" t="s">
        <v>74</v>
      </c>
      <c r="C67" s="53">
        <v>74.572951420099002</v>
      </c>
      <c r="D67" s="53">
        <v>5.2263938604539</v>
      </c>
      <c r="E67" s="53">
        <v>153.890402048699</v>
      </c>
      <c r="F67" s="53">
        <v>74.572951420099002</v>
      </c>
      <c r="G67" s="53">
        <v>153.890402048699</v>
      </c>
      <c r="H67" s="54" t="s">
        <v>185</v>
      </c>
      <c r="I67" s="55">
        <v>6.70003684999896</v>
      </c>
      <c r="J67" s="55">
        <v>19.105545055594099</v>
      </c>
      <c r="K67" s="55">
        <v>1.6244813595702601</v>
      </c>
      <c r="L67" s="55">
        <v>66.248433210529797</v>
      </c>
      <c r="M67" s="55">
        <v>95.113777332850901</v>
      </c>
      <c r="N67" s="56">
        <v>1.6244813595702601</v>
      </c>
      <c r="O67" s="56">
        <f>(O66+0.175625919373841)</f>
        <v>39.671079568632038</v>
      </c>
      <c r="P67" s="56">
        <f t="shared" si="4"/>
        <v>58.776624715848101</v>
      </c>
    </row>
    <row r="68" spans="1:16" x14ac:dyDescent="0.25">
      <c r="A68" s="37" t="s">
        <v>74</v>
      </c>
      <c r="B68" s="37" t="s">
        <v>238</v>
      </c>
      <c r="C68" s="53">
        <v>19.502326218626401</v>
      </c>
      <c r="D68" s="53">
        <v>5.1681094063580302</v>
      </c>
      <c r="E68" s="53">
        <v>159.05851145505699</v>
      </c>
      <c r="F68" s="53">
        <v>19.502326218626401</v>
      </c>
      <c r="G68" s="53">
        <v>159.05851145505699</v>
      </c>
      <c r="H68" s="54" t="s">
        <v>185</v>
      </c>
      <c r="I68" s="55">
        <v>2.6800448899995799</v>
      </c>
      <c r="J68" s="55">
        <v>19.824835860750198</v>
      </c>
      <c r="K68" s="55">
        <v>1.53679151170462</v>
      </c>
      <c r="L68" s="55">
        <v>15.285489816922199</v>
      </c>
      <c r="M68" s="55">
        <v>99.174476644174803</v>
      </c>
      <c r="N68" s="56">
        <v>1.53679151170462</v>
      </c>
      <c r="O68" s="56">
        <f>(O67+0.388119289878025)</f>
        <v>40.059198858510065</v>
      </c>
      <c r="P68" s="56">
        <f t="shared" si="4"/>
        <v>59.884034810882184</v>
      </c>
    </row>
    <row r="69" spans="1:16" x14ac:dyDescent="0.25">
      <c r="A69" s="37" t="s">
        <v>238</v>
      </c>
      <c r="B69" s="37" t="s">
        <v>239</v>
      </c>
      <c r="C69" s="53">
        <v>19.009955896428199</v>
      </c>
      <c r="D69" s="53">
        <v>17.611904155796001</v>
      </c>
      <c r="E69" s="53">
        <v>176.67041561085301</v>
      </c>
      <c r="F69" s="53">
        <v>19.009955896428199</v>
      </c>
      <c r="G69" s="53">
        <v>176.67041561085301</v>
      </c>
      <c r="H69" s="54" t="s">
        <v>185</v>
      </c>
      <c r="I69" s="55">
        <v>2.6800448899995799</v>
      </c>
      <c r="J69" s="55">
        <v>22.3063589070461</v>
      </c>
      <c r="K69" s="55">
        <v>1.35543820148379</v>
      </c>
      <c r="L69" s="55">
        <v>14.974472804944901</v>
      </c>
      <c r="M69" s="55">
        <v>113.045363999578</v>
      </c>
      <c r="N69" s="56">
        <v>1.35543820148379</v>
      </c>
      <c r="O69" s="56">
        <f>(O68+1.25949375409726)</f>
        <v>41.318692612607322</v>
      </c>
      <c r="P69" s="56">
        <f t="shared" si="4"/>
        <v>63.625051611275012</v>
      </c>
    </row>
    <row r="70" spans="1:16" x14ac:dyDescent="0.25">
      <c r="A70" s="37" t="s">
        <v>239</v>
      </c>
      <c r="B70" s="37" t="s">
        <v>240</v>
      </c>
      <c r="C70" s="53">
        <v>19.0317570800913</v>
      </c>
      <c r="D70" s="53">
        <v>17.649242956685601</v>
      </c>
      <c r="E70" s="53">
        <v>194.31965856753899</v>
      </c>
      <c r="F70" s="53">
        <v>19.0317570800913</v>
      </c>
      <c r="G70" s="53">
        <v>194.31965856753899</v>
      </c>
      <c r="H70" s="54" t="s">
        <v>185</v>
      </c>
      <c r="I70" s="55">
        <v>2.6800448899995799</v>
      </c>
      <c r="J70" s="55">
        <v>24.787881953342001</v>
      </c>
      <c r="K70" s="55">
        <v>1.3650683073662899</v>
      </c>
      <c r="L70" s="55">
        <v>14.986643882725399</v>
      </c>
      <c r="M70" s="55">
        <v>126.93871417115</v>
      </c>
      <c r="N70" s="56">
        <v>1.3650683073662899</v>
      </c>
      <c r="O70" s="56">
        <f>(O69+1.27436973881711)</f>
        <v>42.593062351424429</v>
      </c>
      <c r="P70" s="56">
        <f t="shared" si="4"/>
        <v>67.380944396388998</v>
      </c>
    </row>
    <row r="71" spans="1:16" x14ac:dyDescent="0.25">
      <c r="A71" s="37" t="s">
        <v>240</v>
      </c>
      <c r="B71" s="37" t="s">
        <v>241</v>
      </c>
      <c r="C71" s="53">
        <v>19.090607706349601</v>
      </c>
      <c r="D71" s="53">
        <v>17.786282696311201</v>
      </c>
      <c r="E71" s="53">
        <v>212.10594126385001</v>
      </c>
      <c r="F71" s="53">
        <v>19.090607706349601</v>
      </c>
      <c r="G71" s="53">
        <v>212.10594126385001</v>
      </c>
      <c r="H71" s="54" t="s">
        <v>185</v>
      </c>
      <c r="I71" s="55">
        <v>2.6800448899995799</v>
      </c>
      <c r="J71" s="55">
        <v>27.269404999637899</v>
      </c>
      <c r="K71" s="55">
        <v>1.38757032847868</v>
      </c>
      <c r="L71" s="55">
        <v>15.022992487871401</v>
      </c>
      <c r="M71" s="55">
        <v>140.91815882892601</v>
      </c>
      <c r="N71" s="56">
        <v>1.38757032847868</v>
      </c>
      <c r="O71" s="56">
        <f>(O70+1.3253149922389)</f>
        <v>43.91837734366333</v>
      </c>
      <c r="P71" s="56">
        <f t="shared" si="4"/>
        <v>71.187782434924003</v>
      </c>
    </row>
    <row r="72" spans="1:16" x14ac:dyDescent="0.25">
      <c r="A72" s="37" t="s">
        <v>241</v>
      </c>
      <c r="B72" s="37" t="s">
        <v>242</v>
      </c>
      <c r="C72" s="53">
        <v>19.327762917682701</v>
      </c>
      <c r="D72" s="53">
        <v>17.943564158764801</v>
      </c>
      <c r="E72" s="53">
        <v>230.049505422614</v>
      </c>
      <c r="F72" s="53">
        <v>19.327762917682701</v>
      </c>
      <c r="G72" s="53">
        <v>230.049505422614</v>
      </c>
      <c r="H72" s="54" t="s">
        <v>185</v>
      </c>
      <c r="I72" s="55">
        <v>2.6800448899995799</v>
      </c>
      <c r="J72" s="55">
        <v>29.750928045933801</v>
      </c>
      <c r="K72" s="55">
        <v>1.4751100547573399</v>
      </c>
      <c r="L72" s="55">
        <v>15.1726079729258</v>
      </c>
      <c r="M72" s="55">
        <v>154.997411021315</v>
      </c>
      <c r="N72" s="56">
        <v>1.4751100547573399</v>
      </c>
      <c r="O72" s="56">
        <f>(O71+1.38278892007933)</f>
        <v>45.301166263742658</v>
      </c>
      <c r="P72" s="56">
        <f t="shared" si="4"/>
        <v>75.052094401299001</v>
      </c>
    </row>
    <row r="73" spans="1:16" x14ac:dyDescent="0.25">
      <c r="A73" s="37" t="s">
        <v>242</v>
      </c>
      <c r="B73" s="37" t="s">
        <v>243</v>
      </c>
      <c r="C73" s="53">
        <v>19.430335665249299</v>
      </c>
      <c r="D73" s="53">
        <v>18.1674716125389</v>
      </c>
      <c r="E73" s="53">
        <v>248.21697703515301</v>
      </c>
      <c r="F73" s="53">
        <v>19.430335665249299</v>
      </c>
      <c r="G73" s="53">
        <v>248.21697703515301</v>
      </c>
      <c r="H73" s="54" t="s">
        <v>185</v>
      </c>
      <c r="I73" s="55">
        <v>2.6800448899995799</v>
      </c>
      <c r="J73" s="55">
        <v>32.232451092229702</v>
      </c>
      <c r="K73" s="55">
        <v>1.5117140126140101</v>
      </c>
      <c r="L73" s="55">
        <v>15.2385767626357</v>
      </c>
      <c r="M73" s="55">
        <v>169.22316268736699</v>
      </c>
      <c r="N73" s="56">
        <v>1.5117140126140101</v>
      </c>
      <c r="O73" s="56">
        <f>(O72+1.46019690019097)</f>
        <v>46.76136316393363</v>
      </c>
      <c r="P73" s="56">
        <f t="shared" si="4"/>
        <v>78.993814347786014</v>
      </c>
    </row>
    <row r="74" spans="1:16" x14ac:dyDescent="0.25">
      <c r="A74" s="37" t="s">
        <v>243</v>
      </c>
      <c r="B74" s="37" t="s">
        <v>244</v>
      </c>
      <c r="C74" s="53">
        <v>19.811403017834799</v>
      </c>
      <c r="D74" s="53">
        <v>18.325542789679201</v>
      </c>
      <c r="E74" s="53">
        <v>266.54251982483299</v>
      </c>
      <c r="F74" s="53">
        <v>19.811403017834799</v>
      </c>
      <c r="G74" s="53">
        <v>266.54251982483299</v>
      </c>
      <c r="H74" s="54" t="s">
        <v>185</v>
      </c>
      <c r="I74" s="55">
        <v>2.6800448899995799</v>
      </c>
      <c r="J74" s="55">
        <v>34.7139741385256</v>
      </c>
      <c r="K74" s="55">
        <v>1.6423112917985001</v>
      </c>
      <c r="L74" s="55">
        <v>15.4890468360367</v>
      </c>
      <c r="M74" s="55">
        <v>183.55252958669001</v>
      </c>
      <c r="N74" s="56">
        <v>1.6423112917985001</v>
      </c>
      <c r="O74" s="56">
        <f>(O73+1.51465284406006)</f>
        <v>48.27601600799369</v>
      </c>
      <c r="P74" s="56">
        <f t="shared" si="4"/>
        <v>82.98999023814298</v>
      </c>
    </row>
    <row r="75" spans="1:16" x14ac:dyDescent="0.25">
      <c r="A75" s="37" t="s">
        <v>244</v>
      </c>
      <c r="B75" s="37" t="s">
        <v>245</v>
      </c>
      <c r="C75" s="53">
        <v>19.771769407872402</v>
      </c>
      <c r="D75" s="53">
        <v>18.4911680385</v>
      </c>
      <c r="E75" s="53">
        <v>285.033687863333</v>
      </c>
      <c r="F75" s="53">
        <v>19.771769407872402</v>
      </c>
      <c r="G75" s="53">
        <v>285.033687863333</v>
      </c>
      <c r="H75" s="54" t="s">
        <v>185</v>
      </c>
      <c r="I75" s="55">
        <v>2.6800448899995799</v>
      </c>
      <c r="J75" s="55">
        <v>37.195497184821498</v>
      </c>
      <c r="K75" s="55">
        <v>1.6293388513712299</v>
      </c>
      <c r="L75" s="55">
        <v>15.4623856665016</v>
      </c>
      <c r="M75" s="55">
        <v>197.99578171193301</v>
      </c>
      <c r="N75" s="56">
        <v>1.6293388513712299</v>
      </c>
      <c r="O75" s="56">
        <f>(O74+1.56639286696178)</f>
        <v>49.842408874955467</v>
      </c>
      <c r="P75" s="56">
        <f t="shared" si="4"/>
        <v>87.037906151399994</v>
      </c>
    </row>
    <row r="76" spans="1:16" x14ac:dyDescent="0.25">
      <c r="A76" s="37" t="s">
        <v>245</v>
      </c>
      <c r="B76" s="37" t="s">
        <v>246</v>
      </c>
      <c r="C76" s="53">
        <v>20.1691535552877</v>
      </c>
      <c r="D76" s="53">
        <v>18.648583768211001</v>
      </c>
      <c r="E76" s="53">
        <v>303.68227163154398</v>
      </c>
      <c r="F76" s="53">
        <v>20.1691535552877</v>
      </c>
      <c r="G76" s="53">
        <v>303.68227163154398</v>
      </c>
      <c r="H76" s="54" t="s">
        <v>185</v>
      </c>
      <c r="I76" s="55">
        <v>2.6800448899995799</v>
      </c>
      <c r="J76" s="55">
        <v>39.677020231117403</v>
      </c>
      <c r="K76" s="55">
        <v>1.7540697412662101</v>
      </c>
      <c r="L76" s="55">
        <v>15.7350389240219</v>
      </c>
      <c r="M76" s="55">
        <v>212.54659835764801</v>
      </c>
      <c r="N76" s="56">
        <v>1.7540697412662101</v>
      </c>
      <c r="O76" s="56">
        <f>(O75+1.61624407620028)</f>
        <v>51.458652951155749</v>
      </c>
      <c r="P76" s="56">
        <f t="shared" si="4"/>
        <v>91.135673273895975</v>
      </c>
    </row>
    <row r="77" spans="1:16" x14ac:dyDescent="0.25">
      <c r="A77" s="37" t="s">
        <v>246</v>
      </c>
      <c r="B77" s="37" t="s">
        <v>247</v>
      </c>
      <c r="C77" s="53">
        <v>20.1117873840481</v>
      </c>
      <c r="D77" s="53">
        <v>18.698398596297899</v>
      </c>
      <c r="E77" s="53">
        <v>322.38067022784099</v>
      </c>
      <c r="F77" s="53">
        <v>20.1117873840481</v>
      </c>
      <c r="G77" s="53">
        <v>322.38067022784099</v>
      </c>
      <c r="H77" s="54" t="s">
        <v>185</v>
      </c>
      <c r="I77" s="55">
        <v>2.6800448899995799</v>
      </c>
      <c r="J77" s="55">
        <v>42.158543277413301</v>
      </c>
      <c r="K77" s="55">
        <v>1.7370174633264099</v>
      </c>
      <c r="L77" s="55">
        <v>15.6947250307221</v>
      </c>
      <c r="M77" s="55">
        <v>227.13266509115499</v>
      </c>
      <c r="N77" s="56">
        <v>1.7370174633264099</v>
      </c>
      <c r="O77" s="56">
        <f>(O76+1.63080881649466)</f>
        <v>53.089461767650405</v>
      </c>
      <c r="P77" s="56">
        <f t="shared" si="4"/>
        <v>95.248005136686004</v>
      </c>
    </row>
    <row r="78" spans="1:16" x14ac:dyDescent="0.25">
      <c r="A78" s="37" t="s">
        <v>247</v>
      </c>
      <c r="B78" s="37" t="s">
        <v>248</v>
      </c>
      <c r="C78" s="53">
        <v>20.276753583955401</v>
      </c>
      <c r="D78" s="53">
        <v>18.898231144126999</v>
      </c>
      <c r="E78" s="53">
        <v>341.278901371968</v>
      </c>
      <c r="F78" s="53">
        <v>20.276753583955401</v>
      </c>
      <c r="G78" s="53">
        <v>341.278901371968</v>
      </c>
      <c r="H78" s="54" t="s">
        <v>185</v>
      </c>
      <c r="I78" s="55">
        <v>2.6800448899995799</v>
      </c>
      <c r="J78" s="55">
        <v>44.640066323709199</v>
      </c>
      <c r="K78" s="55">
        <v>1.7855295803020801</v>
      </c>
      <c r="L78" s="55">
        <v>15.8111791136538</v>
      </c>
      <c r="M78" s="55">
        <v>241.863056687377</v>
      </c>
      <c r="N78" s="56">
        <v>1.7855295803020801</v>
      </c>
      <c r="O78" s="56">
        <f>(O77+1.68631650160893)</f>
        <v>54.775778269259334</v>
      </c>
      <c r="P78" s="56">
        <f t="shared" si="4"/>
        <v>99.415844684591008</v>
      </c>
    </row>
    <row r="79" spans="1:16" x14ac:dyDescent="0.25">
      <c r="A79" s="37" t="s">
        <v>248</v>
      </c>
      <c r="B79" s="37" t="s">
        <v>249</v>
      </c>
      <c r="C79" s="53">
        <v>20.5434256873591</v>
      </c>
      <c r="D79" s="53">
        <v>19.057793694515201</v>
      </c>
      <c r="E79" s="53">
        <v>360.33669506648403</v>
      </c>
      <c r="F79" s="53">
        <v>20.5434256873591</v>
      </c>
      <c r="G79" s="53">
        <v>360.33669506648403</v>
      </c>
      <c r="H79" s="54" t="s">
        <v>185</v>
      </c>
      <c r="I79" s="55">
        <v>2.6800448899995799</v>
      </c>
      <c r="J79" s="55">
        <v>47.121589370005097</v>
      </c>
      <c r="K79" s="55">
        <v>1.8569140631732199</v>
      </c>
      <c r="L79" s="55">
        <v>16.006466734186301</v>
      </c>
      <c r="M79" s="55">
        <v>256.71155344471799</v>
      </c>
      <c r="N79" s="56">
        <v>1.8569140631732199</v>
      </c>
      <c r="O79" s="56">
        <f>(O78+1.72777389087834)</f>
        <v>56.503552160137673</v>
      </c>
      <c r="P79" s="56">
        <f t="shared" si="4"/>
        <v>103.62514162176603</v>
      </c>
    </row>
    <row r="80" spans="1:16" x14ac:dyDescent="0.25">
      <c r="A80" s="37" t="s">
        <v>249</v>
      </c>
      <c r="B80" s="37" t="s">
        <v>250</v>
      </c>
      <c r="C80" s="53">
        <v>20.621408692793899</v>
      </c>
      <c r="D80" s="53">
        <v>19.284864431801701</v>
      </c>
      <c r="E80" s="53">
        <v>379.62155949828502</v>
      </c>
      <c r="F80" s="53">
        <v>20.621408692793899</v>
      </c>
      <c r="G80" s="53">
        <v>379.62155949828502</v>
      </c>
      <c r="H80" s="54" t="s">
        <v>185</v>
      </c>
      <c r="I80" s="55">
        <v>2.6800448899995799</v>
      </c>
      <c r="J80" s="55">
        <v>49.603112416301002</v>
      </c>
      <c r="K80" s="55">
        <v>1.8750775411239999</v>
      </c>
      <c r="L80" s="55">
        <v>16.066286261670299</v>
      </c>
      <c r="M80" s="55">
        <v>271.73525265266301</v>
      </c>
      <c r="N80" s="56">
        <v>1.8750775411239999</v>
      </c>
      <c r="O80" s="56">
        <f>(O79+1.77964217756038)</f>
        <v>58.283194337698056</v>
      </c>
      <c r="P80" s="56">
        <f t="shared" si="4"/>
        <v>107.88630684562202</v>
      </c>
    </row>
    <row r="81" spans="1:16" x14ac:dyDescent="0.25">
      <c r="A81" s="37" t="s">
        <v>250</v>
      </c>
      <c r="B81" s="37" t="s">
        <v>251</v>
      </c>
      <c r="C81" s="53">
        <v>21.0338984798979</v>
      </c>
      <c r="D81" s="53">
        <v>19.443797379498701</v>
      </c>
      <c r="E81" s="53">
        <v>399.06535687778398</v>
      </c>
      <c r="F81" s="53">
        <v>21.0338984798979</v>
      </c>
      <c r="G81" s="53">
        <v>399.06535687778398</v>
      </c>
      <c r="H81" s="54" t="s">
        <v>185</v>
      </c>
      <c r="I81" s="55">
        <v>2.6800448899995799</v>
      </c>
      <c r="J81" s="55">
        <v>52.0846354625969</v>
      </c>
      <c r="K81" s="55">
        <v>1.9689495624064299</v>
      </c>
      <c r="L81" s="55">
        <v>16.384904027491899</v>
      </c>
      <c r="M81" s="55">
        <v>286.874425539193</v>
      </c>
      <c r="N81" s="56">
        <v>1.9689495624064299</v>
      </c>
      <c r="O81" s="56">
        <f>(O80+1.82310144667261)</f>
        <v>60.106295784370666</v>
      </c>
      <c r="P81" s="56">
        <f t="shared" si="4"/>
        <v>112.19093133859099</v>
      </c>
    </row>
    <row r="82" spans="1:16" x14ac:dyDescent="0.25">
      <c r="A82" s="37" t="s">
        <v>251</v>
      </c>
      <c r="B82" s="37" t="s">
        <v>252</v>
      </c>
      <c r="C82" s="53">
        <v>20.964703859819402</v>
      </c>
      <c r="D82" s="53">
        <v>19.561238381890899</v>
      </c>
      <c r="E82" s="53">
        <v>418.62659525967501</v>
      </c>
      <c r="F82" s="53">
        <v>20.964703859819402</v>
      </c>
      <c r="G82" s="53">
        <v>418.62659525967501</v>
      </c>
      <c r="H82" s="54" t="s">
        <v>185</v>
      </c>
      <c r="I82" s="55">
        <v>2.6800448899995799</v>
      </c>
      <c r="J82" s="55">
        <v>54.566158508892798</v>
      </c>
      <c r="K82" s="55">
        <v>1.9689495624064299</v>
      </c>
      <c r="L82" s="55">
        <v>16.315709407413401</v>
      </c>
      <c r="M82" s="55">
        <v>302.13103942811603</v>
      </c>
      <c r="N82" s="56">
        <v>1.9689495624064299</v>
      </c>
      <c r="O82" s="56">
        <f>(O81+1.82310144667261)</f>
        <v>61.929397231043275</v>
      </c>
      <c r="P82" s="56">
        <f t="shared" si="4"/>
        <v>116.49555583155899</v>
      </c>
    </row>
    <row r="83" spans="1:16" x14ac:dyDescent="0.25">
      <c r="A83" s="37" t="s">
        <v>252</v>
      </c>
      <c r="B83" s="37" t="s">
        <v>253</v>
      </c>
      <c r="C83" s="53">
        <v>21.2875710450651</v>
      </c>
      <c r="D83" s="53">
        <v>19.721484771861</v>
      </c>
      <c r="E83" s="53">
        <v>438.34808003153603</v>
      </c>
      <c r="F83" s="53">
        <v>21.2875710450651</v>
      </c>
      <c r="G83" s="53">
        <v>438.34808003153603</v>
      </c>
      <c r="H83" s="54" t="s">
        <v>185</v>
      </c>
      <c r="I83" s="55">
        <v>2.6800448899995799</v>
      </c>
      <c r="J83" s="55">
        <v>57.047681555188703</v>
      </c>
      <c r="K83" s="55">
        <v>1.9689495624064299</v>
      </c>
      <c r="L83" s="55">
        <v>16.638576592659099</v>
      </c>
      <c r="M83" s="55">
        <v>317.54789970700801</v>
      </c>
      <c r="N83" s="56">
        <v>1.9689495624064299</v>
      </c>
      <c r="O83" s="56">
        <f>(O82+1.82310144667261)</f>
        <v>63.752498677715884</v>
      </c>
      <c r="P83" s="56">
        <f t="shared" si="4"/>
        <v>120.80018032452801</v>
      </c>
    </row>
    <row r="84" spans="1:16" x14ac:dyDescent="0.25">
      <c r="A84" s="37" t="s">
        <v>253</v>
      </c>
      <c r="B84" s="37" t="s">
        <v>254</v>
      </c>
      <c r="C84" s="53">
        <v>21.310836062154699</v>
      </c>
      <c r="D84" s="53">
        <v>19.815226081359999</v>
      </c>
      <c r="E84" s="53">
        <v>458.16330611289601</v>
      </c>
      <c r="F84" s="53">
        <v>21.310836062154699</v>
      </c>
      <c r="G84" s="53">
        <v>458.16330611289601</v>
      </c>
      <c r="H84" s="54" t="s">
        <v>185</v>
      </c>
      <c r="I84" s="55">
        <v>2.6800448899995799</v>
      </c>
      <c r="J84" s="55">
        <v>59.529204601484601</v>
      </c>
      <c r="K84" s="55">
        <v>1.9689495624064299</v>
      </c>
      <c r="L84" s="55">
        <v>16.661841609748699</v>
      </c>
      <c r="M84" s="55">
        <v>333.05850129539999</v>
      </c>
      <c r="N84" s="56">
        <v>1.9689495624064299</v>
      </c>
      <c r="O84" s="56">
        <f>(O83+1.82310144667261)</f>
        <v>65.575600124388501</v>
      </c>
      <c r="P84" s="56">
        <f t="shared" ref="P84:P101" si="5">(E84-M84)</f>
        <v>125.10480481749602</v>
      </c>
    </row>
    <row r="85" spans="1:16" x14ac:dyDescent="0.25">
      <c r="A85" s="37" t="s">
        <v>254</v>
      </c>
      <c r="B85" s="37" t="s">
        <v>92</v>
      </c>
      <c r="C85" s="53">
        <v>21.490052273583</v>
      </c>
      <c r="D85" s="53">
        <v>15.9150680331238</v>
      </c>
      <c r="E85" s="53">
        <v>474.07837414602</v>
      </c>
      <c r="F85" s="53">
        <v>21.490052273583</v>
      </c>
      <c r="G85" s="53">
        <v>474.07837414602</v>
      </c>
      <c r="H85" s="54" t="s">
        <v>185</v>
      </c>
      <c r="I85" s="55">
        <v>2.6800448899995799</v>
      </c>
      <c r="J85" s="55">
        <v>61.507185352129</v>
      </c>
      <c r="K85" s="55">
        <v>1.9689495624064299</v>
      </c>
      <c r="L85" s="55">
        <v>16.841057821176999</v>
      </c>
      <c r="M85" s="55">
        <v>345.54242473425802</v>
      </c>
      <c r="N85" s="56">
        <v>1.9689495624064299</v>
      </c>
      <c r="O85" s="56">
        <f>(O84+1.45316384362135)</f>
        <v>67.028763968009855</v>
      </c>
      <c r="P85" s="56">
        <f t="shared" si="5"/>
        <v>128.53594941176198</v>
      </c>
    </row>
    <row r="86" spans="1:16" x14ac:dyDescent="0.25">
      <c r="A86" s="37" t="s">
        <v>92</v>
      </c>
      <c r="B86" s="37" t="s">
        <v>93</v>
      </c>
      <c r="C86" s="53">
        <v>21.637866683438499</v>
      </c>
      <c r="D86" s="53">
        <v>4.6360669078697603</v>
      </c>
      <c r="E86" s="53">
        <v>478.714441053889</v>
      </c>
      <c r="F86" s="53">
        <v>21.637866683438499</v>
      </c>
      <c r="G86" s="53">
        <v>478.714441053889</v>
      </c>
      <c r="H86" s="54" t="s">
        <v>185</v>
      </c>
      <c r="I86" s="55">
        <v>2.6800448899995799</v>
      </c>
      <c r="J86" s="55">
        <v>62.028299962119803</v>
      </c>
      <c r="K86" s="55">
        <v>1.9689495624064299</v>
      </c>
      <c r="L86" s="55">
        <v>16.988872231032499</v>
      </c>
      <c r="M86" s="55">
        <v>349.43860529608003</v>
      </c>
      <c r="N86" s="56">
        <v>1.9689495624064299</v>
      </c>
      <c r="O86" s="56">
        <f>(O85+0.218771736056367)</f>
        <v>67.247535704066223</v>
      </c>
      <c r="P86" s="56">
        <f t="shared" si="5"/>
        <v>129.27583575780898</v>
      </c>
    </row>
    <row r="87" spans="1:16" x14ac:dyDescent="0.25">
      <c r="A87" s="37" t="s">
        <v>93</v>
      </c>
      <c r="B87" s="37" t="s">
        <v>255</v>
      </c>
      <c r="C87" s="53">
        <v>61.811504556959697</v>
      </c>
      <c r="D87" s="53">
        <v>4.76768389838203</v>
      </c>
      <c r="E87" s="53">
        <v>483.48212495227102</v>
      </c>
      <c r="F87" s="53">
        <v>61.811504556959697</v>
      </c>
      <c r="G87" s="53">
        <v>483.48212495227102</v>
      </c>
      <c r="H87" s="54" t="s">
        <v>185</v>
      </c>
      <c r="I87" s="55">
        <v>6.70003684999896</v>
      </c>
      <c r="J87" s="55">
        <v>62.542694489367101</v>
      </c>
      <c r="K87" s="55">
        <v>1.9689495624064299</v>
      </c>
      <c r="L87" s="55">
        <v>53.142518144554302</v>
      </c>
      <c r="M87" s="55">
        <v>353.54072880021999</v>
      </c>
      <c r="N87" s="56">
        <v>1.9689495624064299</v>
      </c>
      <c r="O87" s="56">
        <f>(O86+0.151165866994899)</f>
        <v>67.398701571061125</v>
      </c>
      <c r="P87" s="56">
        <f t="shared" si="5"/>
        <v>129.94139615205103</v>
      </c>
    </row>
    <row r="88" spans="1:16" x14ac:dyDescent="0.25">
      <c r="A88" s="37" t="s">
        <v>255</v>
      </c>
      <c r="B88" s="37" t="s">
        <v>95</v>
      </c>
      <c r="C88" s="53">
        <v>62.3875532333577</v>
      </c>
      <c r="D88" s="53">
        <v>18.6246702021452</v>
      </c>
      <c r="E88" s="53">
        <v>502.106795154417</v>
      </c>
      <c r="F88" s="53">
        <v>62.3875532333577</v>
      </c>
      <c r="G88" s="53">
        <v>502.106795154417</v>
      </c>
      <c r="H88" s="54" t="s">
        <v>185</v>
      </c>
      <c r="I88" s="55">
        <v>6.70003684999896</v>
      </c>
      <c r="J88" s="55">
        <v>64.509792113954902</v>
      </c>
      <c r="K88" s="55">
        <v>1.9689495624064299</v>
      </c>
      <c r="L88" s="55">
        <v>53.718566820952297</v>
      </c>
      <c r="M88" s="55">
        <v>369.65567152749799</v>
      </c>
      <c r="N88" s="56">
        <v>1.9689495624064299</v>
      </c>
      <c r="O88" s="56">
        <f>(O87+0.542629850279659)</f>
        <v>67.941331421340777</v>
      </c>
      <c r="P88" s="56">
        <f t="shared" si="5"/>
        <v>132.45112362691901</v>
      </c>
    </row>
    <row r="89" spans="1:16" x14ac:dyDescent="0.25">
      <c r="A89" s="37" t="s">
        <v>95</v>
      </c>
      <c r="B89" s="37" t="s">
        <v>96</v>
      </c>
      <c r="C89" s="53">
        <v>64.485638126020504</v>
      </c>
      <c r="D89" s="53">
        <v>4.80980795789963</v>
      </c>
      <c r="E89" s="53">
        <v>506.91660311231601</v>
      </c>
      <c r="F89" s="53">
        <v>64.485638126020504</v>
      </c>
      <c r="G89" s="53">
        <v>506.91660311231601</v>
      </c>
      <c r="H89" s="54" t="s">
        <v>185</v>
      </c>
      <c r="I89" s="55">
        <v>6.70003684999896</v>
      </c>
      <c r="J89" s="55">
        <v>65.030906723945705</v>
      </c>
      <c r="K89" s="55">
        <v>1.7275014396581401</v>
      </c>
      <c r="L89" s="55">
        <v>56.058099836363397</v>
      </c>
      <c r="M89" s="55">
        <v>373.74886603736701</v>
      </c>
      <c r="N89" s="56">
        <v>1.7275014396581401</v>
      </c>
      <c r="O89" s="56">
        <f>(O88+0.195498838039634)</f>
        <v>68.136830259380417</v>
      </c>
      <c r="P89" s="56">
        <f t="shared" si="5"/>
        <v>133.167737074949</v>
      </c>
    </row>
    <row r="90" spans="1:16" x14ac:dyDescent="0.25">
      <c r="A90" s="37" t="s">
        <v>96</v>
      </c>
      <c r="B90" s="37" t="s">
        <v>256</v>
      </c>
      <c r="C90" s="53">
        <v>22.0910782696056</v>
      </c>
      <c r="D90" s="53">
        <v>11.528908829558301</v>
      </c>
      <c r="E90" s="53">
        <v>518.44551194187397</v>
      </c>
      <c r="F90" s="53">
        <v>22.0910782696056</v>
      </c>
      <c r="G90" s="53">
        <v>518.44551194187397</v>
      </c>
      <c r="H90" s="54" t="s">
        <v>185</v>
      </c>
      <c r="I90" s="55">
        <v>2.6800448899995799</v>
      </c>
      <c r="J90" s="55">
        <v>66.427799698525902</v>
      </c>
      <c r="K90" s="55">
        <v>1.79148468302752</v>
      </c>
      <c r="L90" s="55">
        <v>17.619548696578502</v>
      </c>
      <c r="M90" s="55">
        <v>382.90087513976903</v>
      </c>
      <c r="N90" s="56">
        <v>1.79148468302752</v>
      </c>
      <c r="O90" s="56">
        <f>(O89+0.98000675257687)</f>
        <v>69.116837011957287</v>
      </c>
      <c r="P90" s="56">
        <f t="shared" si="5"/>
        <v>135.54463680210495</v>
      </c>
    </row>
    <row r="91" spans="1:16" x14ac:dyDescent="0.25">
      <c r="A91" s="37" t="s">
        <v>256</v>
      </c>
      <c r="B91" s="37" t="s">
        <v>257</v>
      </c>
      <c r="C91" s="53">
        <v>22.147089948277198</v>
      </c>
      <c r="D91" s="53">
        <v>20.8322422296783</v>
      </c>
      <c r="E91" s="53">
        <v>539.27775417155306</v>
      </c>
      <c r="F91" s="53">
        <v>22.147089948277198</v>
      </c>
      <c r="G91" s="53">
        <v>539.27775417155306</v>
      </c>
      <c r="H91" s="54" t="s">
        <v>185</v>
      </c>
      <c r="I91" s="55">
        <v>2.6800448899995799</v>
      </c>
      <c r="J91" s="55">
        <v>68.909322744821793</v>
      </c>
      <c r="K91" s="55">
        <v>1.9689495624064299</v>
      </c>
      <c r="L91" s="55">
        <v>17.498095495871201</v>
      </c>
      <c r="M91" s="55">
        <v>399.428492876478</v>
      </c>
      <c r="N91" s="56">
        <v>1.9689495624064299</v>
      </c>
      <c r="O91" s="56">
        <f t="shared" ref="O91:O96" si="6">(O90+1.82310144667261)</f>
        <v>70.939938458629896</v>
      </c>
      <c r="P91" s="56">
        <f t="shared" si="5"/>
        <v>139.84926129507505</v>
      </c>
    </row>
    <row r="92" spans="1:16" x14ac:dyDescent="0.25">
      <c r="A92" s="37" t="s">
        <v>257</v>
      </c>
      <c r="B92" s="37" t="s">
        <v>258</v>
      </c>
      <c r="C92" s="53">
        <v>22.850553267828101</v>
      </c>
      <c r="D92" s="53">
        <v>21.6446520012001</v>
      </c>
      <c r="E92" s="53">
        <v>560.92240617275297</v>
      </c>
      <c r="F92" s="53">
        <v>22.850553267828101</v>
      </c>
      <c r="G92" s="53">
        <v>560.92240617275297</v>
      </c>
      <c r="H92" s="54" t="s">
        <v>185</v>
      </c>
      <c r="I92" s="55">
        <v>2.6800448899995799</v>
      </c>
      <c r="J92" s="55">
        <v>71.390845791117698</v>
      </c>
      <c r="K92" s="55">
        <v>1.9689495624064299</v>
      </c>
      <c r="L92" s="55">
        <v>18.2015588154221</v>
      </c>
      <c r="M92" s="55">
        <v>416.76852038470997</v>
      </c>
      <c r="N92" s="56">
        <v>1.9689495624064299</v>
      </c>
      <c r="O92" s="56">
        <f t="shared" si="6"/>
        <v>72.763039905302506</v>
      </c>
      <c r="P92" s="56">
        <f t="shared" si="5"/>
        <v>144.153885788043</v>
      </c>
    </row>
    <row r="93" spans="1:16" x14ac:dyDescent="0.25">
      <c r="A93" s="37" t="s">
        <v>258</v>
      </c>
      <c r="B93" s="37" t="s">
        <v>259</v>
      </c>
      <c r="C93" s="53">
        <v>23.901895054764299</v>
      </c>
      <c r="D93" s="53">
        <v>21.961642434663698</v>
      </c>
      <c r="E93" s="53">
        <v>582.88404860741696</v>
      </c>
      <c r="F93" s="53">
        <v>23.901895054764299</v>
      </c>
      <c r="G93" s="53">
        <v>582.88404860741696</v>
      </c>
      <c r="H93" s="54" t="s">
        <v>185</v>
      </c>
      <c r="I93" s="55">
        <v>2.6800448899995799</v>
      </c>
      <c r="J93" s="55">
        <v>73.872368837413603</v>
      </c>
      <c r="K93" s="55">
        <v>1.9689495624064299</v>
      </c>
      <c r="L93" s="55">
        <v>19.252900602358299</v>
      </c>
      <c r="M93" s="55">
        <v>434.42553832640499</v>
      </c>
      <c r="N93" s="56">
        <v>1.9689495624064299</v>
      </c>
      <c r="O93" s="56">
        <f t="shared" si="6"/>
        <v>74.586141351975115</v>
      </c>
      <c r="P93" s="56">
        <f t="shared" si="5"/>
        <v>148.45851028101197</v>
      </c>
    </row>
    <row r="94" spans="1:16" x14ac:dyDescent="0.25">
      <c r="A94" s="37" t="s">
        <v>259</v>
      </c>
      <c r="B94" s="37" t="s">
        <v>260</v>
      </c>
      <c r="C94" s="53">
        <v>23.535252604109498</v>
      </c>
      <c r="D94" s="53">
        <v>22.647990101254202</v>
      </c>
      <c r="E94" s="53">
        <v>605.53203870867105</v>
      </c>
      <c r="F94" s="53">
        <v>23.535252604109498</v>
      </c>
      <c r="G94" s="53">
        <v>605.53203870867105</v>
      </c>
      <c r="H94" s="54" t="s">
        <v>185</v>
      </c>
      <c r="I94" s="55">
        <v>2.6800448899995799</v>
      </c>
      <c r="J94" s="55">
        <v>76.353891883709494</v>
      </c>
      <c r="K94" s="55">
        <v>1.9689495624064299</v>
      </c>
      <c r="L94" s="55">
        <v>18.886258151703501</v>
      </c>
      <c r="M94" s="55">
        <v>452.76890393469102</v>
      </c>
      <c r="N94" s="56">
        <v>1.9689495624064299</v>
      </c>
      <c r="O94" s="56">
        <f t="shared" si="6"/>
        <v>76.409242798647725</v>
      </c>
      <c r="P94" s="56">
        <f t="shared" si="5"/>
        <v>152.76313477398003</v>
      </c>
    </row>
    <row r="95" spans="1:16" x14ac:dyDescent="0.25">
      <c r="A95" s="37" t="s">
        <v>260</v>
      </c>
      <c r="B95" s="37" t="s">
        <v>261</v>
      </c>
      <c r="C95" s="53">
        <v>25.384406014599801</v>
      </c>
      <c r="D95" s="53">
        <v>22.905845377966099</v>
      </c>
      <c r="E95" s="53">
        <v>628.43788408663704</v>
      </c>
      <c r="F95" s="53">
        <v>25.384406014599801</v>
      </c>
      <c r="G95" s="53">
        <v>628.43788408663704</v>
      </c>
      <c r="H95" s="54" t="s">
        <v>185</v>
      </c>
      <c r="I95" s="55">
        <v>2.6800448899995799</v>
      </c>
      <c r="J95" s="55">
        <v>78.835414930005399</v>
      </c>
      <c r="K95" s="55">
        <v>1.9689495624064299</v>
      </c>
      <c r="L95" s="55">
        <v>20.7354115621938</v>
      </c>
      <c r="M95" s="55">
        <v>471.37012481968901</v>
      </c>
      <c r="N95" s="56">
        <v>1.9689495624064299</v>
      </c>
      <c r="O95" s="56">
        <f t="shared" si="6"/>
        <v>78.232344245320334</v>
      </c>
      <c r="P95" s="56">
        <f t="shared" si="5"/>
        <v>157.06775926694803</v>
      </c>
    </row>
    <row r="96" spans="1:16" x14ac:dyDescent="0.25">
      <c r="A96" s="37" t="s">
        <v>261</v>
      </c>
      <c r="B96" s="37" t="s">
        <v>262</v>
      </c>
      <c r="C96" s="53">
        <v>24.0922200018071</v>
      </c>
      <c r="D96" s="53">
        <v>23.472063757985701</v>
      </c>
      <c r="E96" s="53">
        <v>651.90994784462305</v>
      </c>
      <c r="F96" s="53">
        <v>24.0922200018071</v>
      </c>
      <c r="G96" s="53">
        <v>651.90994784462305</v>
      </c>
      <c r="H96" s="54" t="s">
        <v>185</v>
      </c>
      <c r="I96" s="55">
        <v>2.6800448899995799</v>
      </c>
      <c r="J96" s="55">
        <v>81.316937976301304</v>
      </c>
      <c r="K96" s="55">
        <v>1.9689495624064299</v>
      </c>
      <c r="L96" s="55">
        <v>19.443225549401099</v>
      </c>
      <c r="M96" s="55">
        <v>490.53756408470599</v>
      </c>
      <c r="N96" s="56">
        <v>1.9689495624064299</v>
      </c>
      <c r="O96" s="56">
        <f t="shared" si="6"/>
        <v>80.055445691992944</v>
      </c>
      <c r="P96" s="56">
        <f t="shared" si="5"/>
        <v>161.37238375991706</v>
      </c>
    </row>
    <row r="97" spans="1:16" x14ac:dyDescent="0.25">
      <c r="A97" s="37" t="s">
        <v>262</v>
      </c>
      <c r="B97" s="37" t="s">
        <v>105</v>
      </c>
      <c r="C97" s="53">
        <v>26.607437715442099</v>
      </c>
      <c r="D97" s="53">
        <v>15.763507050841699</v>
      </c>
      <c r="E97" s="53">
        <v>667.67345489546403</v>
      </c>
      <c r="F97" s="53">
        <v>26.607437715442099</v>
      </c>
      <c r="G97" s="53">
        <v>667.67345489546403</v>
      </c>
      <c r="H97" s="54" t="s">
        <v>185</v>
      </c>
      <c r="I97" s="55">
        <v>2.6800448899995799</v>
      </c>
      <c r="J97" s="55">
        <v>83.399945650846107</v>
      </c>
      <c r="K97" s="55">
        <v>1.9689495624064299</v>
      </c>
      <c r="L97" s="55">
        <v>21.958443263036099</v>
      </c>
      <c r="M97" s="55">
        <v>502.68773944867399</v>
      </c>
      <c r="N97" s="56">
        <v>1.9689495624064299</v>
      </c>
      <c r="O97" s="56">
        <f>(O96+1.53032401232834)</f>
        <v>81.58576970432128</v>
      </c>
      <c r="P97" s="56">
        <f t="shared" si="5"/>
        <v>164.98571544679004</v>
      </c>
    </row>
    <row r="98" spans="1:16" x14ac:dyDescent="0.25">
      <c r="A98" s="37" t="s">
        <v>105</v>
      </c>
      <c r="B98" s="37" t="s">
        <v>106</v>
      </c>
      <c r="C98" s="53">
        <v>13.9559332565949</v>
      </c>
      <c r="D98" s="53">
        <v>2.2178701303055601</v>
      </c>
      <c r="E98" s="53">
        <v>669.89132502577002</v>
      </c>
      <c r="F98" s="53">
        <v>13.9559332565949</v>
      </c>
      <c r="G98" s="53">
        <v>669.89132502577002</v>
      </c>
      <c r="H98" s="54" t="s">
        <v>185</v>
      </c>
      <c r="I98" s="55">
        <v>2.6800448899995799</v>
      </c>
      <c r="J98" s="55">
        <v>83.803190548068301</v>
      </c>
      <c r="K98" s="55">
        <v>1.9689495624064299</v>
      </c>
      <c r="L98" s="55">
        <v>9.30693880418894</v>
      </c>
      <c r="M98" s="55">
        <v>504.32005453709002</v>
      </c>
      <c r="N98" s="56">
        <v>1.9689495624064299</v>
      </c>
      <c r="O98" s="56">
        <f>(O97+0.18231014466726)</f>
        <v>81.768079848988535</v>
      </c>
      <c r="P98" s="56">
        <f t="shared" si="5"/>
        <v>165.57127048868</v>
      </c>
    </row>
    <row r="99" spans="1:16" x14ac:dyDescent="0.25">
      <c r="A99" s="37" t="s">
        <v>106</v>
      </c>
      <c r="B99" s="37" t="s">
        <v>263</v>
      </c>
      <c r="C99" s="53">
        <v>33.950061558005601</v>
      </c>
      <c r="D99" s="53">
        <v>1.89665979313557</v>
      </c>
      <c r="E99" s="53">
        <v>671.78798481890499</v>
      </c>
      <c r="F99" s="53">
        <v>33.950061558005601</v>
      </c>
      <c r="G99" s="53">
        <v>671.78798481890499</v>
      </c>
      <c r="H99" s="54" t="s">
        <v>185</v>
      </c>
      <c r="I99" s="55">
        <v>6.0300448899990604</v>
      </c>
      <c r="J99" s="55">
        <v>84.141504300917703</v>
      </c>
      <c r="K99" s="55">
        <v>1.9689495624064299</v>
      </c>
      <c r="L99" s="55">
        <v>25.951067105600099</v>
      </c>
      <c r="M99" s="55">
        <v>505.76793328769998</v>
      </c>
      <c r="N99" s="56">
        <v>1.9689495624064299</v>
      </c>
      <c r="O99" s="56">
        <f>(O98+0.11046728967701)</f>
        <v>81.878547138665539</v>
      </c>
      <c r="P99" s="56">
        <f t="shared" si="5"/>
        <v>166.02005153120501</v>
      </c>
    </row>
    <row r="100" spans="1:16" x14ac:dyDescent="0.25">
      <c r="A100" s="37" t="s">
        <v>263</v>
      </c>
      <c r="B100" s="37" t="s">
        <v>264</v>
      </c>
      <c r="C100" s="53">
        <v>33.661400271954498</v>
      </c>
      <c r="D100" s="53">
        <v>9.3319045890565704</v>
      </c>
      <c r="E100" s="53">
        <v>681.11988940796198</v>
      </c>
      <c r="F100" s="53">
        <v>33.661400271954498</v>
      </c>
      <c r="G100" s="53">
        <v>681.11988940796198</v>
      </c>
      <c r="H100" s="54" t="s">
        <v>185</v>
      </c>
      <c r="I100" s="55">
        <v>6.0300448899990604</v>
      </c>
      <c r="J100" s="55">
        <v>85.813205511401307</v>
      </c>
      <c r="K100" s="55">
        <v>1.9689495624064299</v>
      </c>
      <c r="L100" s="55">
        <v>25.662405819549001</v>
      </c>
      <c r="M100" s="55">
        <v>512.88228743514696</v>
      </c>
      <c r="N100" s="56">
        <v>1.9689495624064299</v>
      </c>
      <c r="O100" s="56">
        <f>(O99+0.545849231125126)</f>
        <v>82.424396369790671</v>
      </c>
      <c r="P100" s="56">
        <f t="shared" si="5"/>
        <v>168.23760197281501</v>
      </c>
    </row>
    <row r="101" spans="1:16" x14ac:dyDescent="0.25">
      <c r="A101" s="37" t="s">
        <v>264</v>
      </c>
      <c r="B101" s="37" t="s">
        <v>185</v>
      </c>
      <c r="C101" s="53">
        <v>33.661400271954498</v>
      </c>
      <c r="D101" s="53">
        <v>0</v>
      </c>
      <c r="E101" s="53">
        <v>681.11988940796198</v>
      </c>
      <c r="F101" s="53">
        <v>33.661400271954498</v>
      </c>
      <c r="G101" s="53">
        <f>G100</f>
        <v>681.11988940796198</v>
      </c>
      <c r="H101" s="54" t="s">
        <v>185</v>
      </c>
      <c r="I101" s="55">
        <v>6.0300448899990604</v>
      </c>
      <c r="J101" s="55">
        <v>85.813205511401307</v>
      </c>
      <c r="K101" s="55">
        <v>1.9689495624064299</v>
      </c>
      <c r="L101" s="55">
        <v>25.662405819549001</v>
      </c>
      <c r="M101" s="55">
        <v>512.88228743514696</v>
      </c>
      <c r="N101" s="56">
        <v>1.9689495624064299</v>
      </c>
      <c r="O101" s="56">
        <f>O100</f>
        <v>82.424396369790671</v>
      </c>
      <c r="P101" s="56">
        <f t="shared" si="5"/>
        <v>168.23760197281501</v>
      </c>
    </row>
    <row r="104" spans="1:16" x14ac:dyDescent="0.25">
      <c r="A104" s="25" t="s">
        <v>109</v>
      </c>
      <c r="B104" s="27" t="s">
        <v>109</v>
      </c>
      <c r="C104" s="27" t="s">
        <v>109</v>
      </c>
      <c r="D104" s="27" t="s">
        <v>109</v>
      </c>
      <c r="E104" s="27" t="s">
        <v>109</v>
      </c>
      <c r="F104" s="27" t="s">
        <v>109</v>
      </c>
      <c r="G104" s="27" t="s">
        <v>109</v>
      </c>
      <c r="H104" s="27" t="s">
        <v>109</v>
      </c>
      <c r="I104" s="27" t="s">
        <v>109</v>
      </c>
      <c r="J104" s="27" t="s">
        <v>109</v>
      </c>
      <c r="K104" s="27" t="s">
        <v>109</v>
      </c>
      <c r="L104" s="27" t="s">
        <v>109</v>
      </c>
      <c r="M104" s="27" t="s">
        <v>109</v>
      </c>
      <c r="N104" s="27" t="s">
        <v>109</v>
      </c>
      <c r="O104" s="27" t="s">
        <v>109</v>
      </c>
      <c r="P104" s="26" t="s">
        <v>109</v>
      </c>
    </row>
    <row r="105" spans="1:16" x14ac:dyDescent="0.25">
      <c r="A105" s="11" t="s">
        <v>212</v>
      </c>
      <c r="B105" s="11" t="s">
        <v>213</v>
      </c>
      <c r="C105" s="9" t="s">
        <v>214</v>
      </c>
      <c r="D105" s="9" t="s">
        <v>215</v>
      </c>
      <c r="E105" s="9" t="s">
        <v>216</v>
      </c>
      <c r="F105" s="8" t="s">
        <v>20</v>
      </c>
      <c r="G105" s="26"/>
      <c r="H105" s="7" t="s">
        <v>19</v>
      </c>
      <c r="I105" s="27"/>
      <c r="J105" s="26"/>
      <c r="K105" s="7" t="s">
        <v>20</v>
      </c>
      <c r="L105" s="27"/>
      <c r="M105" s="26"/>
      <c r="N105" s="6" t="s">
        <v>217</v>
      </c>
      <c r="O105" s="26"/>
      <c r="P105" s="5" t="s">
        <v>218</v>
      </c>
    </row>
    <row r="106" spans="1:16" ht="30" x14ac:dyDescent="0.25">
      <c r="A106" s="10"/>
      <c r="B106" s="10"/>
      <c r="C106" s="10"/>
      <c r="D106" s="10"/>
      <c r="E106" s="10"/>
      <c r="F106" s="50" t="s">
        <v>219</v>
      </c>
      <c r="G106" s="50" t="s">
        <v>220</v>
      </c>
      <c r="H106" s="51" t="s">
        <v>221</v>
      </c>
      <c r="I106" s="51" t="s">
        <v>219</v>
      </c>
      <c r="J106" s="51" t="s">
        <v>220</v>
      </c>
      <c r="K106" s="51" t="s">
        <v>221</v>
      </c>
      <c r="L106" s="51" t="s">
        <v>219</v>
      </c>
      <c r="M106" s="51" t="s">
        <v>220</v>
      </c>
      <c r="N106" s="52" t="s">
        <v>219</v>
      </c>
      <c r="O106" s="52" t="s">
        <v>220</v>
      </c>
      <c r="P106" s="10"/>
    </row>
    <row r="107" spans="1:16" x14ac:dyDescent="0.25">
      <c r="A107" s="37" t="s">
        <v>265</v>
      </c>
      <c r="B107" s="37" t="s">
        <v>112</v>
      </c>
      <c r="C107" s="53">
        <v>73.417707719579596</v>
      </c>
      <c r="D107" s="53">
        <v>27.277220163378399</v>
      </c>
      <c r="E107" s="53">
        <v>27.277220163378399</v>
      </c>
      <c r="F107" s="53">
        <v>73.417707719579596</v>
      </c>
      <c r="G107" s="53">
        <v>27.277220163378399</v>
      </c>
      <c r="H107" s="54" t="s">
        <v>185</v>
      </c>
      <c r="I107" s="55">
        <v>6.7000368530512002</v>
      </c>
      <c r="J107" s="55">
        <v>2.48149215240031</v>
      </c>
      <c r="K107" s="55">
        <v>7.4667367061880103</v>
      </c>
      <c r="L107" s="55">
        <v>59.2509341603403</v>
      </c>
      <c r="M107" s="55">
        <v>22.030273290198899</v>
      </c>
      <c r="N107" s="56">
        <v>7.4667367061880103</v>
      </c>
      <c r="O107" s="56">
        <v>2.7654547207792302</v>
      </c>
      <c r="P107" s="56">
        <f t="shared" ref="P107:P145" si="7">(E107-M107)</f>
        <v>5.2469468731794997</v>
      </c>
    </row>
    <row r="108" spans="1:16" x14ac:dyDescent="0.25">
      <c r="A108" s="37" t="s">
        <v>112</v>
      </c>
      <c r="B108" s="37" t="s">
        <v>113</v>
      </c>
      <c r="C108" s="53">
        <v>73.879457919263302</v>
      </c>
      <c r="D108" s="53">
        <v>5.2858980671406304</v>
      </c>
      <c r="E108" s="53">
        <v>32.563118230519102</v>
      </c>
      <c r="F108" s="53">
        <v>73.879457919263302</v>
      </c>
      <c r="G108" s="53">
        <v>32.563118230519102</v>
      </c>
      <c r="H108" s="54" t="s">
        <v>185</v>
      </c>
      <c r="I108" s="55">
        <v>6.70003684999896</v>
      </c>
      <c r="J108" s="55">
        <v>3.0026067457107399</v>
      </c>
      <c r="K108" s="55">
        <v>7.4667367061880103</v>
      </c>
      <c r="L108" s="55">
        <v>59.712684363076299</v>
      </c>
      <c r="M108" s="55">
        <v>25.9654210115052</v>
      </c>
      <c r="N108" s="56">
        <v>7.4667367061880103</v>
      </c>
      <c r="O108" s="56">
        <f>(O107+0.82963573584344)</f>
        <v>3.5950904566226702</v>
      </c>
      <c r="P108" s="56">
        <f t="shared" si="7"/>
        <v>6.5976972190139023</v>
      </c>
    </row>
    <row r="109" spans="1:16" x14ac:dyDescent="0.25">
      <c r="A109" s="37" t="s">
        <v>113</v>
      </c>
      <c r="B109" s="37" t="s">
        <v>238</v>
      </c>
      <c r="C109" s="53">
        <v>21.266897581978998</v>
      </c>
      <c r="D109" s="53">
        <v>5.5710387255359697</v>
      </c>
      <c r="E109" s="53">
        <v>38.134156956055001</v>
      </c>
      <c r="F109" s="53">
        <v>21.266897581978998</v>
      </c>
      <c r="G109" s="53">
        <v>38.134156956055001</v>
      </c>
      <c r="H109" s="54" t="s">
        <v>185</v>
      </c>
      <c r="I109" s="55">
        <v>2.6800448899995799</v>
      </c>
      <c r="J109" s="55">
        <v>3.7113306694852302</v>
      </c>
      <c r="K109" s="55">
        <v>7.4667364059401402</v>
      </c>
      <c r="L109" s="55">
        <v>11.1201162860393</v>
      </c>
      <c r="M109" s="55">
        <v>28.8531954546362</v>
      </c>
      <c r="N109" s="56">
        <v>7.4667364059401402</v>
      </c>
      <c r="O109" s="56">
        <f>(O108+1.9745401092518)</f>
        <v>5.56963056587447</v>
      </c>
      <c r="P109" s="56">
        <f t="shared" si="7"/>
        <v>9.2809615014188012</v>
      </c>
    </row>
    <row r="110" spans="1:16" x14ac:dyDescent="0.25">
      <c r="A110" s="37" t="s">
        <v>238</v>
      </c>
      <c r="B110" s="37" t="s">
        <v>114</v>
      </c>
      <c r="C110" s="53">
        <v>20.866937932434599</v>
      </c>
      <c r="D110" s="53">
        <v>4.1896188108569703</v>
      </c>
      <c r="E110" s="53">
        <v>42.323775766912</v>
      </c>
      <c r="F110" s="53">
        <v>20.866937932434599</v>
      </c>
      <c r="G110" s="53">
        <v>42.323775766912</v>
      </c>
      <c r="H110" s="54" t="s">
        <v>185</v>
      </c>
      <c r="I110" s="55">
        <v>2.6800448899995799</v>
      </c>
      <c r="J110" s="55">
        <v>4.25312358448737</v>
      </c>
      <c r="K110" s="55">
        <v>7.4667351203816903</v>
      </c>
      <c r="L110" s="55">
        <v>10.7201579220533</v>
      </c>
      <c r="M110" s="55">
        <v>30.991558314532401</v>
      </c>
      <c r="N110" s="56">
        <v>7.4667351203816903</v>
      </c>
      <c r="O110" s="56">
        <f>(O109+1.50946254704828)</f>
        <v>7.0790931129227506</v>
      </c>
      <c r="P110" s="56">
        <f t="shared" si="7"/>
        <v>11.332217452379599</v>
      </c>
    </row>
    <row r="111" spans="1:16" x14ac:dyDescent="0.25">
      <c r="A111" s="37" t="s">
        <v>114</v>
      </c>
      <c r="B111" s="37" t="s">
        <v>115</v>
      </c>
      <c r="C111" s="53">
        <v>20.581947949151001</v>
      </c>
      <c r="D111" s="53">
        <v>4.41979824184292</v>
      </c>
      <c r="E111" s="53">
        <v>46.743574008754898</v>
      </c>
      <c r="F111" s="53">
        <v>20.581947949151001</v>
      </c>
      <c r="G111" s="53">
        <v>46.743574008754898</v>
      </c>
      <c r="H111" s="54" t="s">
        <v>185</v>
      </c>
      <c r="I111" s="55">
        <v>2.6800448899995799</v>
      </c>
      <c r="J111" s="55">
        <v>4.7742380138619298</v>
      </c>
      <c r="K111" s="55">
        <v>7.4667334550885496</v>
      </c>
      <c r="L111" s="55">
        <v>10.4351696040628</v>
      </c>
      <c r="M111" s="55">
        <v>34.060606374476897</v>
      </c>
      <c r="N111" s="56">
        <v>7.4667334550885496</v>
      </c>
      <c r="O111" s="56">
        <f>(O110+0.829635571907569)</f>
        <v>7.9087286848303195</v>
      </c>
      <c r="P111" s="56">
        <f t="shared" si="7"/>
        <v>12.682967634278</v>
      </c>
    </row>
    <row r="112" spans="1:16" x14ac:dyDescent="0.25">
      <c r="A112" s="37" t="s">
        <v>115</v>
      </c>
      <c r="B112" s="37" t="s">
        <v>119</v>
      </c>
      <c r="C112" s="53">
        <v>58.974579517076599</v>
      </c>
      <c r="D112" s="53">
        <v>22.317392015890299</v>
      </c>
      <c r="E112" s="53">
        <v>69.060966024645296</v>
      </c>
      <c r="F112" s="53">
        <v>58.974579517076599</v>
      </c>
      <c r="G112" s="53">
        <v>69.060966024645296</v>
      </c>
      <c r="H112" s="54" t="s">
        <v>185</v>
      </c>
      <c r="I112" s="55">
        <v>6.70003684999896</v>
      </c>
      <c r="J112" s="55">
        <v>7.2557301656970097</v>
      </c>
      <c r="K112" s="55">
        <v>7.4667367061880103</v>
      </c>
      <c r="L112" s="55">
        <v>44.807805960889603</v>
      </c>
      <c r="M112" s="55">
        <v>51.882511821719298</v>
      </c>
      <c r="N112" s="56">
        <v>7.4667367061880103</v>
      </c>
      <c r="O112" s="56">
        <f>(O111+2.01399441681287)</f>
        <v>9.9227231016431894</v>
      </c>
      <c r="P112" s="56">
        <f t="shared" si="7"/>
        <v>17.178454202925998</v>
      </c>
    </row>
    <row r="113" spans="1:16" x14ac:dyDescent="0.25">
      <c r="A113" s="37" t="s">
        <v>119</v>
      </c>
      <c r="B113" s="37" t="s">
        <v>120</v>
      </c>
      <c r="C113" s="53">
        <v>61.539481985605498</v>
      </c>
      <c r="D113" s="53">
        <v>4.5715051861526499</v>
      </c>
      <c r="E113" s="53">
        <v>73.632471210797902</v>
      </c>
      <c r="F113" s="53">
        <v>61.539481985605498</v>
      </c>
      <c r="G113" s="53">
        <v>73.632471210797902</v>
      </c>
      <c r="H113" s="54" t="s">
        <v>185</v>
      </c>
      <c r="I113" s="55">
        <v>6.70003684999896</v>
      </c>
      <c r="J113" s="55">
        <v>7.7768447756878398</v>
      </c>
      <c r="K113" s="55">
        <v>3.4088461953010198</v>
      </c>
      <c r="L113" s="55">
        <v>51.4305989403056</v>
      </c>
      <c r="M113" s="55">
        <v>55.554142467035703</v>
      </c>
      <c r="N113" s="56">
        <v>3.4088461953010198</v>
      </c>
      <c r="O113" s="56">
        <f>(O112+0.378759930845403)</f>
        <v>10.301483032488592</v>
      </c>
      <c r="P113" s="56">
        <f t="shared" si="7"/>
        <v>18.078328743762199</v>
      </c>
    </row>
    <row r="114" spans="1:16" x14ac:dyDescent="0.25">
      <c r="A114" s="37" t="s">
        <v>120</v>
      </c>
      <c r="B114" s="37" t="s">
        <v>239</v>
      </c>
      <c r="C114" s="53">
        <v>20.747775939657899</v>
      </c>
      <c r="D114" s="53">
        <v>2.7243755656747299</v>
      </c>
      <c r="E114" s="53">
        <v>76.356846776472594</v>
      </c>
      <c r="F114" s="53">
        <v>20.747775939657899</v>
      </c>
      <c r="G114" s="53">
        <v>76.356846776472594</v>
      </c>
      <c r="H114" s="54" t="s">
        <v>185</v>
      </c>
      <c r="I114" s="55">
        <v>2.6800448899995799</v>
      </c>
      <c r="J114" s="55">
        <v>8.1284020507039507</v>
      </c>
      <c r="K114" s="55">
        <v>3.4088461953010198</v>
      </c>
      <c r="L114" s="55">
        <v>14.6588848543573</v>
      </c>
      <c r="M114" s="55">
        <v>57.479802322460301</v>
      </c>
      <c r="N114" s="56">
        <v>3.4088461953010198</v>
      </c>
      <c r="O114" s="56">
        <f>(O113+0.447158435233983)</f>
        <v>10.748641467722575</v>
      </c>
      <c r="P114" s="56">
        <f t="shared" si="7"/>
        <v>18.877044454012292</v>
      </c>
    </row>
    <row r="115" spans="1:16" x14ac:dyDescent="0.25">
      <c r="A115" s="37" t="s">
        <v>239</v>
      </c>
      <c r="B115" s="37" t="s">
        <v>240</v>
      </c>
      <c r="C115" s="53">
        <v>20.789972428039899</v>
      </c>
      <c r="D115" s="53">
        <v>19.283091660029001</v>
      </c>
      <c r="E115" s="53">
        <v>95.639938436501595</v>
      </c>
      <c r="F115" s="53">
        <v>20.789972428039899</v>
      </c>
      <c r="G115" s="53">
        <v>95.639938436501595</v>
      </c>
      <c r="H115" s="54" t="s">
        <v>185</v>
      </c>
      <c r="I115" s="55">
        <v>2.6800448899995799</v>
      </c>
      <c r="J115" s="55">
        <v>10.6099250969999</v>
      </c>
      <c r="K115" s="55">
        <v>3.4088461953010198</v>
      </c>
      <c r="L115" s="55">
        <v>14.7010813427393</v>
      </c>
      <c r="M115" s="55">
        <v>71.125031866470295</v>
      </c>
      <c r="N115" s="56">
        <v>3.4088461953010198</v>
      </c>
      <c r="O115" s="56">
        <f>(O114+3.15633906972315)</f>
        <v>13.904980537445724</v>
      </c>
      <c r="P115" s="56">
        <f t="shared" si="7"/>
        <v>24.5149065700313</v>
      </c>
    </row>
    <row r="116" spans="1:16" x14ac:dyDescent="0.25">
      <c r="A116" s="37" t="s">
        <v>240</v>
      </c>
      <c r="B116" s="37" t="s">
        <v>123</v>
      </c>
      <c r="C116" s="53">
        <v>20.861505557622799</v>
      </c>
      <c r="D116" s="53">
        <v>18.244493297246301</v>
      </c>
      <c r="E116" s="53">
        <v>113.884431733748</v>
      </c>
      <c r="F116" s="53">
        <v>20.861505557622799</v>
      </c>
      <c r="G116" s="53">
        <v>113.884431733748</v>
      </c>
      <c r="H116" s="54" t="s">
        <v>185</v>
      </c>
      <c r="I116" s="55">
        <v>2.6800448899995799</v>
      </c>
      <c r="J116" s="55">
        <v>12.9627829844058</v>
      </c>
      <c r="K116" s="55">
        <v>3.4088461953010198</v>
      </c>
      <c r="L116" s="55">
        <v>14.7726144723222</v>
      </c>
      <c r="M116" s="55">
        <v>84.023982083799197</v>
      </c>
      <c r="N116" s="56">
        <v>3.4088461953010198</v>
      </c>
      <c r="O116" s="56">
        <f>(O115+2.9926851925114)</f>
        <v>16.897665729957122</v>
      </c>
      <c r="P116" s="56">
        <f t="shared" si="7"/>
        <v>29.860449649948805</v>
      </c>
    </row>
    <row r="117" spans="1:16" x14ac:dyDescent="0.25">
      <c r="A117" s="37" t="s">
        <v>123</v>
      </c>
      <c r="B117" s="37" t="s">
        <v>124</v>
      </c>
      <c r="C117" s="53">
        <v>20.701617564807599</v>
      </c>
      <c r="D117" s="53">
        <v>0.50757330334346196</v>
      </c>
      <c r="E117" s="53">
        <v>114.392005037091</v>
      </c>
      <c r="F117" s="53">
        <v>20.701617564807599</v>
      </c>
      <c r="G117" s="53">
        <v>114.392005037091</v>
      </c>
      <c r="H117" s="54" t="s">
        <v>185</v>
      </c>
      <c r="I117" s="55">
        <v>2.6800448899995799</v>
      </c>
      <c r="J117" s="55">
        <v>13.023830052672199</v>
      </c>
      <c r="K117" s="55">
        <v>3.4088461953010198</v>
      </c>
      <c r="L117" s="55">
        <v>14.612726479507</v>
      </c>
      <c r="M117" s="55">
        <v>84.402120972365495</v>
      </c>
      <c r="N117" s="56">
        <v>3.4088461953010198</v>
      </c>
      <c r="O117" s="56">
        <f>(O116+0.0683873465106795)</f>
        <v>16.966053076467801</v>
      </c>
      <c r="P117" s="56">
        <f t="shared" si="7"/>
        <v>29.989884064725501</v>
      </c>
    </row>
    <row r="118" spans="1:16" x14ac:dyDescent="0.25">
      <c r="A118" s="37" t="s">
        <v>124</v>
      </c>
      <c r="B118" s="37" t="s">
        <v>241</v>
      </c>
      <c r="C118" s="53">
        <v>29.8995363685017</v>
      </c>
      <c r="D118" s="53">
        <v>0.83681559485996204</v>
      </c>
      <c r="E118" s="53">
        <v>115.228820631951</v>
      </c>
      <c r="F118" s="53">
        <v>29.8995363685017</v>
      </c>
      <c r="G118" s="53">
        <v>115.228820631951</v>
      </c>
      <c r="H118" s="54" t="s">
        <v>185</v>
      </c>
      <c r="I118" s="55">
        <v>3.4058782233328002</v>
      </c>
      <c r="J118" s="55">
        <v>13.119013637890699</v>
      </c>
      <c r="K118" s="55">
        <v>3.4088461953010198</v>
      </c>
      <c r="L118" s="55">
        <v>23.084811949867898</v>
      </c>
      <c r="M118" s="55">
        <v>85.048486451305905</v>
      </c>
      <c r="N118" s="56">
        <v>3.4088461953010198</v>
      </c>
      <c r="O118" s="56">
        <f>(O117+0.0952665307010677)</f>
        <v>17.061319607168869</v>
      </c>
      <c r="P118" s="56">
        <f t="shared" si="7"/>
        <v>30.18033418064509</v>
      </c>
    </row>
    <row r="119" spans="1:16" x14ac:dyDescent="0.25">
      <c r="A119" s="37" t="s">
        <v>241</v>
      </c>
      <c r="B119" s="37" t="s">
        <v>126</v>
      </c>
      <c r="C119" s="53">
        <v>29.9866720556908</v>
      </c>
      <c r="D119" s="53">
        <v>4.8614551065728397</v>
      </c>
      <c r="E119" s="53">
        <v>120.090275738524</v>
      </c>
      <c r="F119" s="53">
        <v>29.9866720556908</v>
      </c>
      <c r="G119" s="53">
        <v>120.090275738524</v>
      </c>
      <c r="H119" s="54" t="s">
        <v>185</v>
      </c>
      <c r="I119" s="55">
        <v>3.4058782233328002</v>
      </c>
      <c r="J119" s="55">
        <v>13.6650602120034</v>
      </c>
      <c r="K119" s="55">
        <v>3.4088461953010198</v>
      </c>
      <c r="L119" s="55">
        <v>23.171947637056999</v>
      </c>
      <c r="M119" s="55">
        <v>88.844024922757896</v>
      </c>
      <c r="N119" s="56">
        <v>3.4088461953010198</v>
      </c>
      <c r="O119" s="56">
        <f>(O118+0.519870061008194)</f>
        <v>17.581189668177064</v>
      </c>
      <c r="P119" s="56">
        <f t="shared" si="7"/>
        <v>31.246250815766103</v>
      </c>
    </row>
    <row r="120" spans="1:16" x14ac:dyDescent="0.25">
      <c r="A120" s="37" t="s">
        <v>126</v>
      </c>
      <c r="B120" s="37" t="s">
        <v>127</v>
      </c>
      <c r="C120" s="53">
        <v>30.658426242351801</v>
      </c>
      <c r="D120" s="53">
        <v>0.51504981355556101</v>
      </c>
      <c r="E120" s="53">
        <v>120.60532555208</v>
      </c>
      <c r="F120" s="53">
        <v>30.658426242351801</v>
      </c>
      <c r="G120" s="53">
        <v>120.60532555208</v>
      </c>
      <c r="H120" s="54" t="s">
        <v>185</v>
      </c>
      <c r="I120" s="55">
        <v>3.4058782233328002</v>
      </c>
      <c r="J120" s="55">
        <v>13.7261072802699</v>
      </c>
      <c r="K120" s="55">
        <v>3.0763666187441299</v>
      </c>
      <c r="L120" s="55">
        <v>24.176181400274899</v>
      </c>
      <c r="M120" s="55">
        <v>89.236248008437002</v>
      </c>
      <c r="N120" s="56">
        <v>3.0763666187441299</v>
      </c>
      <c r="O120" s="56">
        <f>(O119+0.0617796596099105)</f>
        <v>17.642969327786975</v>
      </c>
      <c r="P120" s="56">
        <f t="shared" si="7"/>
        <v>31.369077543643002</v>
      </c>
    </row>
    <row r="121" spans="1:16" x14ac:dyDescent="0.25">
      <c r="A121" s="37" t="s">
        <v>127</v>
      </c>
      <c r="B121" s="37" t="s">
        <v>242</v>
      </c>
      <c r="C121" s="53">
        <v>20.688078247486601</v>
      </c>
      <c r="D121" s="53">
        <v>15.6761641402212</v>
      </c>
      <c r="E121" s="53">
        <v>136.28148969230099</v>
      </c>
      <c r="F121" s="53">
        <v>20.688078247486601</v>
      </c>
      <c r="G121" s="53">
        <v>136.28148969230099</v>
      </c>
      <c r="H121" s="54" t="s">
        <v>185</v>
      </c>
      <c r="I121" s="55">
        <v>2.6800448899995799</v>
      </c>
      <c r="J121" s="55">
        <v>15.7241864673694</v>
      </c>
      <c r="K121" s="55">
        <v>3.0825902162121102</v>
      </c>
      <c r="L121" s="55">
        <v>14.925443141274901</v>
      </c>
      <c r="M121" s="55">
        <v>100.53798721689699</v>
      </c>
      <c r="N121" s="56">
        <v>3.0825902162121102</v>
      </c>
      <c r="O121" s="56">
        <f>(O120+2.37634574466186)</f>
        <v>20.019315072448833</v>
      </c>
      <c r="P121" s="56">
        <f t="shared" si="7"/>
        <v>35.743502475404</v>
      </c>
    </row>
    <row r="122" spans="1:16" x14ac:dyDescent="0.25">
      <c r="A122" s="37" t="s">
        <v>242</v>
      </c>
      <c r="B122" s="37" t="s">
        <v>243</v>
      </c>
      <c r="C122" s="53">
        <v>21.365133527149201</v>
      </c>
      <c r="D122" s="53">
        <v>20.134012229052601</v>
      </c>
      <c r="E122" s="53">
        <v>156.41550192135401</v>
      </c>
      <c r="F122" s="53">
        <v>21.365133527149201</v>
      </c>
      <c r="G122" s="53">
        <v>156.41550192135401</v>
      </c>
      <c r="H122" s="54" t="s">
        <v>185</v>
      </c>
      <c r="I122" s="55">
        <v>2.6800448899995799</v>
      </c>
      <c r="J122" s="55">
        <v>18.205709513665301</v>
      </c>
      <c r="K122" s="55">
        <v>3.2922454869696498</v>
      </c>
      <c r="L122" s="55">
        <v>15.3928431501799</v>
      </c>
      <c r="M122" s="55">
        <v>115.08811913934299</v>
      </c>
      <c r="N122" s="56">
        <v>3.2922454869696498</v>
      </c>
      <c r="O122" s="56">
        <f>(O121+3.10235726031048)</f>
        <v>23.121672332759314</v>
      </c>
      <c r="P122" s="56">
        <f t="shared" si="7"/>
        <v>41.327382782011014</v>
      </c>
    </row>
    <row r="123" spans="1:16" x14ac:dyDescent="0.25">
      <c r="A123" s="37" t="s">
        <v>243</v>
      </c>
      <c r="B123" s="37" t="s">
        <v>244</v>
      </c>
      <c r="C123" s="53">
        <v>22.124332887604599</v>
      </c>
      <c r="D123" s="53">
        <v>20.869087144976</v>
      </c>
      <c r="E123" s="53">
        <v>177.28458906633</v>
      </c>
      <c r="F123" s="53">
        <v>22.124332887604599</v>
      </c>
      <c r="G123" s="53">
        <v>177.28458906633</v>
      </c>
      <c r="H123" s="54" t="s">
        <v>185</v>
      </c>
      <c r="I123" s="55">
        <v>2.6800448899995799</v>
      </c>
      <c r="J123" s="55">
        <v>20.687232559961199</v>
      </c>
      <c r="K123" s="55">
        <v>3.4088461953010198</v>
      </c>
      <c r="L123" s="55">
        <v>16.035441802304</v>
      </c>
      <c r="M123" s="55">
        <v>130.31934416830001</v>
      </c>
      <c r="N123" s="56">
        <v>3.4088461953010198</v>
      </c>
      <c r="O123" s="56">
        <f>(O122+3.15633906972315)</f>
        <v>26.278011402482463</v>
      </c>
      <c r="P123" s="56">
        <f t="shared" si="7"/>
        <v>46.965244898029994</v>
      </c>
    </row>
    <row r="124" spans="1:16" x14ac:dyDescent="0.25">
      <c r="A124" s="37" t="s">
        <v>244</v>
      </c>
      <c r="B124" s="37" t="s">
        <v>245</v>
      </c>
      <c r="C124" s="53">
        <v>22.952895345543698</v>
      </c>
      <c r="D124" s="53">
        <v>21.5758486871587</v>
      </c>
      <c r="E124" s="53">
        <v>198.86043775348799</v>
      </c>
      <c r="F124" s="53">
        <v>22.952895345543698</v>
      </c>
      <c r="G124" s="53">
        <v>198.86043775348799</v>
      </c>
      <c r="H124" s="54" t="s">
        <v>185</v>
      </c>
      <c r="I124" s="55">
        <v>2.6800448899995799</v>
      </c>
      <c r="J124" s="55">
        <v>23.168755606257101</v>
      </c>
      <c r="K124" s="55">
        <v>3.4088461953010198</v>
      </c>
      <c r="L124" s="55">
        <v>16.8640042602431</v>
      </c>
      <c r="M124" s="55">
        <v>146.25733073943999</v>
      </c>
      <c r="N124" s="56">
        <v>3.4088461953010198</v>
      </c>
      <c r="O124" s="56">
        <f>(O123+3.15633906972315)</f>
        <v>29.434350472205612</v>
      </c>
      <c r="P124" s="56">
        <f t="shared" si="7"/>
        <v>52.603107014047993</v>
      </c>
    </row>
    <row r="125" spans="1:16" x14ac:dyDescent="0.25">
      <c r="A125" s="37" t="s">
        <v>245</v>
      </c>
      <c r="B125" s="37" t="s">
        <v>246</v>
      </c>
      <c r="C125" s="53">
        <v>23.650937818719399</v>
      </c>
      <c r="D125" s="53">
        <v>22.426253481077701</v>
      </c>
      <c r="E125" s="53">
        <v>221.28669123456601</v>
      </c>
      <c r="F125" s="53">
        <v>23.650937818719399</v>
      </c>
      <c r="G125" s="53">
        <v>221.28669123456601</v>
      </c>
      <c r="H125" s="54" t="s">
        <v>185</v>
      </c>
      <c r="I125" s="55">
        <v>2.6800448899995799</v>
      </c>
      <c r="J125" s="55">
        <v>25.650278652552998</v>
      </c>
      <c r="K125" s="55">
        <v>3.4088461953010198</v>
      </c>
      <c r="L125" s="55">
        <v>17.5620467334188</v>
      </c>
      <c r="M125" s="55">
        <v>163.045722104498</v>
      </c>
      <c r="N125" s="56">
        <v>3.4088461953010198</v>
      </c>
      <c r="O125" s="56">
        <f>(O124+3.15633906972315)</f>
        <v>32.590689541928761</v>
      </c>
      <c r="P125" s="56">
        <f t="shared" si="7"/>
        <v>58.240969130068009</v>
      </c>
    </row>
    <row r="126" spans="1:16" x14ac:dyDescent="0.25">
      <c r="A126" s="37" t="s">
        <v>246</v>
      </c>
      <c r="B126" s="37" t="s">
        <v>134</v>
      </c>
      <c r="C126" s="53">
        <v>24.789769700408598</v>
      </c>
      <c r="D126" s="53">
        <v>15.810965943266099</v>
      </c>
      <c r="E126" s="53">
        <v>237.09765717783199</v>
      </c>
      <c r="F126" s="53">
        <v>24.789769700408598</v>
      </c>
      <c r="G126" s="53">
        <v>237.09765717783199</v>
      </c>
      <c r="H126" s="54" t="s">
        <v>185</v>
      </c>
      <c r="I126" s="55">
        <v>2.6800448899995799</v>
      </c>
      <c r="J126" s="55">
        <v>27.375842650276301</v>
      </c>
      <c r="K126" s="55">
        <v>3.4088461953010198</v>
      </c>
      <c r="L126" s="55">
        <v>18.700878615108</v>
      </c>
      <c r="M126" s="55">
        <v>174.93631668306901</v>
      </c>
      <c r="N126" s="56">
        <v>3.4088461953010198</v>
      </c>
      <c r="O126" s="56">
        <f>(O125+2.19480736697225)</f>
        <v>34.78549690890101</v>
      </c>
      <c r="P126" s="56">
        <f t="shared" si="7"/>
        <v>62.161340494762982</v>
      </c>
    </row>
    <row r="127" spans="1:16" x14ac:dyDescent="0.25">
      <c r="A127" s="37" t="s">
        <v>134</v>
      </c>
      <c r="B127" s="37" t="s">
        <v>135</v>
      </c>
      <c r="C127" s="53">
        <v>24.323561984902799</v>
      </c>
      <c r="D127" s="53">
        <v>0.59067892366881303</v>
      </c>
      <c r="E127" s="53">
        <v>237.68833610150099</v>
      </c>
      <c r="F127" s="53">
        <v>24.323561984902799</v>
      </c>
      <c r="G127" s="53">
        <v>237.68833610150099</v>
      </c>
      <c r="H127" s="54" t="s">
        <v>185</v>
      </c>
      <c r="I127" s="55">
        <v>2.6800448899995799</v>
      </c>
      <c r="J127" s="55">
        <v>27.436889718542801</v>
      </c>
      <c r="K127" s="55">
        <v>3.4088461953010198</v>
      </c>
      <c r="L127" s="55">
        <v>18.2346708996022</v>
      </c>
      <c r="M127" s="55">
        <v>175.39756119196099</v>
      </c>
      <c r="N127" s="56">
        <v>3.4088461953010198</v>
      </c>
      <c r="O127" s="56">
        <f>(O126+0.0683873465106795)</f>
        <v>34.853884255411693</v>
      </c>
      <c r="P127" s="56">
        <f t="shared" si="7"/>
        <v>62.290774909540005</v>
      </c>
    </row>
    <row r="128" spans="1:16" x14ac:dyDescent="0.25">
      <c r="A128" s="37" t="s">
        <v>135</v>
      </c>
      <c r="B128" s="37" t="s">
        <v>137</v>
      </c>
      <c r="C128" s="53">
        <v>34.562583020840201</v>
      </c>
      <c r="D128" s="53">
        <v>4.5887961418810104</v>
      </c>
      <c r="E128" s="53">
        <v>242.277132243382</v>
      </c>
      <c r="F128" s="53">
        <v>34.562583020840201</v>
      </c>
      <c r="G128" s="53">
        <v>242.277132243382</v>
      </c>
      <c r="H128" s="54" t="s">
        <v>185</v>
      </c>
      <c r="I128" s="55">
        <v>3.4058782233328002</v>
      </c>
      <c r="J128" s="55">
        <v>27.912255351036102</v>
      </c>
      <c r="K128" s="55">
        <v>3.4088461953010198</v>
      </c>
      <c r="L128" s="55">
        <v>27.747858602206399</v>
      </c>
      <c r="M128" s="55">
        <v>178.97846827062901</v>
      </c>
      <c r="N128" s="56">
        <v>3.4088461953010198</v>
      </c>
      <c r="O128" s="56">
        <f>(O127+0.532523430718965)</f>
        <v>35.38640768613066</v>
      </c>
      <c r="P128" s="56">
        <f t="shared" si="7"/>
        <v>63.298663972752991</v>
      </c>
    </row>
    <row r="129" spans="1:16" x14ac:dyDescent="0.25">
      <c r="A129" s="37" t="s">
        <v>137</v>
      </c>
      <c r="B129" s="37" t="s">
        <v>138</v>
      </c>
      <c r="C129" s="53">
        <v>24.1860066821292</v>
      </c>
      <c r="D129" s="53">
        <v>0.95426871505215705</v>
      </c>
      <c r="E129" s="53">
        <v>243.23140095843399</v>
      </c>
      <c r="F129" s="53">
        <v>24.1860066821292</v>
      </c>
      <c r="G129" s="53">
        <v>243.23140095843399</v>
      </c>
      <c r="H129" s="54" t="s">
        <v>185</v>
      </c>
      <c r="I129" s="55">
        <v>2.6800448899995799</v>
      </c>
      <c r="J129" s="55">
        <v>28.009792974581799</v>
      </c>
      <c r="K129" s="55">
        <v>3.4088461953010198</v>
      </c>
      <c r="L129" s="55">
        <v>18.097115596828601</v>
      </c>
      <c r="M129" s="55">
        <v>179.72593384867801</v>
      </c>
      <c r="N129" s="56">
        <v>3.4088461953010198</v>
      </c>
      <c r="O129" s="56">
        <f>(O128+0.109265513458094)</f>
        <v>35.495673199588751</v>
      </c>
      <c r="P129" s="56">
        <f t="shared" si="7"/>
        <v>63.505467109755983</v>
      </c>
    </row>
    <row r="130" spans="1:16" x14ac:dyDescent="0.25">
      <c r="A130" s="37" t="s">
        <v>138</v>
      </c>
      <c r="B130" s="37" t="s">
        <v>139</v>
      </c>
      <c r="C130" s="53">
        <v>35.3562070621537</v>
      </c>
      <c r="D130" s="53">
        <v>0.59573742631815096</v>
      </c>
      <c r="E130" s="53">
        <v>243.827138384752</v>
      </c>
      <c r="F130" s="53">
        <v>35.3562070621537</v>
      </c>
      <c r="G130" s="53">
        <v>243.827138384752</v>
      </c>
      <c r="H130" s="54" t="s">
        <v>185</v>
      </c>
      <c r="I130" s="55">
        <v>3.4058782233328002</v>
      </c>
      <c r="J130" s="55">
        <v>28.0708400428482</v>
      </c>
      <c r="K130" s="55">
        <v>3.4088461953010198</v>
      </c>
      <c r="L130" s="55">
        <v>28.541482643519899</v>
      </c>
      <c r="M130" s="55">
        <v>180.192236860219</v>
      </c>
      <c r="N130" s="56">
        <v>3.4088461953010198</v>
      </c>
      <c r="O130" s="56">
        <f>(O129+0.0683873465106795)</f>
        <v>35.564060546099434</v>
      </c>
      <c r="P130" s="56">
        <f t="shared" si="7"/>
        <v>63.634901524533007</v>
      </c>
    </row>
    <row r="131" spans="1:16" x14ac:dyDescent="0.25">
      <c r="A131" s="37" t="s">
        <v>139</v>
      </c>
      <c r="B131" s="37" t="s">
        <v>140</v>
      </c>
      <c r="C131" s="53">
        <v>24.034231746169301</v>
      </c>
      <c r="D131" s="53">
        <v>1.7063462847992199</v>
      </c>
      <c r="E131" s="53">
        <v>245.533484669551</v>
      </c>
      <c r="F131" s="53">
        <v>24.034231746169301</v>
      </c>
      <c r="G131" s="53">
        <v>245.533484669551</v>
      </c>
      <c r="H131" s="54" t="s">
        <v>185</v>
      </c>
      <c r="I131" s="55">
        <v>2.6800448899995799</v>
      </c>
      <c r="J131" s="55">
        <v>28.247120701828401</v>
      </c>
      <c r="K131" s="55">
        <v>3.4088461953010198</v>
      </c>
      <c r="L131" s="55">
        <v>17.945340660868698</v>
      </c>
      <c r="M131" s="55">
        <v>181.584321439034</v>
      </c>
      <c r="N131" s="56">
        <v>3.4088461953010198</v>
      </c>
      <c r="O131" s="56">
        <f>(O130+0.137981047003539)</f>
        <v>35.702041593102976</v>
      </c>
      <c r="P131" s="56">
        <f t="shared" si="7"/>
        <v>63.949163230517001</v>
      </c>
    </row>
    <row r="132" spans="1:16" x14ac:dyDescent="0.25">
      <c r="A132" s="37" t="s">
        <v>140</v>
      </c>
      <c r="B132" s="37" t="s">
        <v>247</v>
      </c>
      <c r="C132" s="53">
        <v>60.2769423914595</v>
      </c>
      <c r="D132" s="53">
        <v>0.79747965957836697</v>
      </c>
      <c r="E132" s="53">
        <v>246.33096432913001</v>
      </c>
      <c r="F132" s="53">
        <v>60.2769423914595</v>
      </c>
      <c r="G132" s="53">
        <v>246.33096432913001</v>
      </c>
      <c r="H132" s="54" t="s">
        <v>185</v>
      </c>
      <c r="I132" s="55">
        <v>6.0300448899990604</v>
      </c>
      <c r="J132" s="55">
        <v>28.3267000450358</v>
      </c>
      <c r="K132" s="55">
        <v>3.4088461953010198</v>
      </c>
      <c r="L132" s="55">
        <v>50.8380513061594</v>
      </c>
      <c r="M132" s="55">
        <v>182.25723473685599</v>
      </c>
      <c r="N132" s="56">
        <v>3.4088461953010198</v>
      </c>
      <c r="O132" s="56">
        <f>(O131+0.0449870185489402)</f>
        <v>35.747028611651913</v>
      </c>
      <c r="P132" s="56">
        <f t="shared" si="7"/>
        <v>64.07372959227402</v>
      </c>
    </row>
    <row r="133" spans="1:16" x14ac:dyDescent="0.25">
      <c r="A133" s="37" t="s">
        <v>247</v>
      </c>
      <c r="B133" s="37" t="s">
        <v>142</v>
      </c>
      <c r="C133" s="53">
        <v>60.5794998031391</v>
      </c>
      <c r="D133" s="53">
        <v>20.257582807095201</v>
      </c>
      <c r="E133" s="53">
        <v>266.58854713622497</v>
      </c>
      <c r="F133" s="53">
        <v>60.5794998031391</v>
      </c>
      <c r="G133" s="53">
        <v>266.58854713622497</v>
      </c>
      <c r="H133" s="54" t="s">
        <v>185</v>
      </c>
      <c r="I133" s="55">
        <v>6.0300448899990604</v>
      </c>
      <c r="J133" s="55">
        <v>30.2571356651614</v>
      </c>
      <c r="K133" s="55">
        <v>3.4088461953010198</v>
      </c>
      <c r="L133" s="55">
        <v>51.140608717839001</v>
      </c>
      <c r="M133" s="55">
        <v>199.90463326733001</v>
      </c>
      <c r="N133" s="56">
        <v>3.4088461953010198</v>
      </c>
      <c r="O133" s="56">
        <f>(O132+0.67974865649573)</f>
        <v>36.426777268147646</v>
      </c>
      <c r="P133" s="56">
        <f t="shared" si="7"/>
        <v>66.683913868894962</v>
      </c>
    </row>
    <row r="134" spans="1:16" x14ac:dyDescent="0.25">
      <c r="A134" s="37" t="s">
        <v>142</v>
      </c>
      <c r="B134" s="37" t="s">
        <v>144</v>
      </c>
      <c r="C134" s="53">
        <v>65.976529743926605</v>
      </c>
      <c r="D134" s="53">
        <v>4.2157644279211999</v>
      </c>
      <c r="E134" s="53">
        <v>270.80431156414602</v>
      </c>
      <c r="F134" s="53">
        <v>65.976529743926605</v>
      </c>
      <c r="G134" s="53">
        <v>270.80431156414602</v>
      </c>
      <c r="H134" s="54" t="s">
        <v>185</v>
      </c>
      <c r="I134" s="55">
        <v>6.0300448899990604</v>
      </c>
      <c r="J134" s="55">
        <v>30.660380562383502</v>
      </c>
      <c r="K134" s="55">
        <v>0.83777552039159697</v>
      </c>
      <c r="L134" s="55">
        <v>59.108709333535899</v>
      </c>
      <c r="M134" s="55">
        <v>203.63958099058601</v>
      </c>
      <c r="N134" s="56">
        <v>0.83777552039159697</v>
      </c>
      <c r="O134" s="56">
        <f>(O133+0.0775718074436655)</f>
        <v>36.504349075591314</v>
      </c>
      <c r="P134" s="56">
        <f t="shared" si="7"/>
        <v>67.164730573560007</v>
      </c>
    </row>
    <row r="135" spans="1:16" x14ac:dyDescent="0.25">
      <c r="A135" s="37" t="s">
        <v>144</v>
      </c>
      <c r="B135" s="37" t="s">
        <v>248</v>
      </c>
      <c r="C135" s="53">
        <v>25.083981899172301</v>
      </c>
      <c r="D135" s="53">
        <v>12.9635391525615</v>
      </c>
      <c r="E135" s="53">
        <v>283.76785071670798</v>
      </c>
      <c r="F135" s="53">
        <v>25.083981899172301</v>
      </c>
      <c r="G135" s="53">
        <v>283.76785071670798</v>
      </c>
      <c r="H135" s="54" t="s">
        <v>185</v>
      </c>
      <c r="I135" s="55">
        <v>2.6800448899995799</v>
      </c>
      <c r="J135" s="55">
        <v>32.035771933486402</v>
      </c>
      <c r="K135" s="55">
        <v>0.83777552039159697</v>
      </c>
      <c r="L135" s="55">
        <v>21.566161488781098</v>
      </c>
      <c r="M135" s="55">
        <v>214.797784771491</v>
      </c>
      <c r="N135" s="56">
        <v>0.83777552039159697</v>
      </c>
      <c r="O135" s="56">
        <f>(O134+0.42994400055292)</f>
        <v>36.934293076144236</v>
      </c>
      <c r="P135" s="56">
        <f t="shared" si="7"/>
        <v>68.970065945216987</v>
      </c>
    </row>
    <row r="136" spans="1:16" x14ac:dyDescent="0.25">
      <c r="A136" s="37" t="s">
        <v>248</v>
      </c>
      <c r="B136" s="37" t="s">
        <v>249</v>
      </c>
      <c r="C136" s="53">
        <v>25.436717288103701</v>
      </c>
      <c r="D136" s="53">
        <v>23.719019589551898</v>
      </c>
      <c r="E136" s="53">
        <v>307.48687030626002</v>
      </c>
      <c r="F136" s="53">
        <v>25.436717288103701</v>
      </c>
      <c r="G136" s="53">
        <v>307.48687030626002</v>
      </c>
      <c r="H136" s="54" t="s">
        <v>185</v>
      </c>
      <c r="I136" s="55">
        <v>2.6800448899995799</v>
      </c>
      <c r="J136" s="55">
        <v>34.517294979782299</v>
      </c>
      <c r="K136" s="55">
        <v>0.83777552039159697</v>
      </c>
      <c r="L136" s="55">
        <v>21.918896877712498</v>
      </c>
      <c r="M136" s="55">
        <v>235.259563240311</v>
      </c>
      <c r="N136" s="56">
        <v>0.83777552039159697</v>
      </c>
      <c r="O136" s="56">
        <f>(O135+0.775718074436661)</f>
        <v>37.710011150580897</v>
      </c>
      <c r="P136" s="56">
        <f t="shared" si="7"/>
        <v>72.22730706594902</v>
      </c>
    </row>
    <row r="137" spans="1:16" x14ac:dyDescent="0.25">
      <c r="A137" s="37" t="s">
        <v>249</v>
      </c>
      <c r="B137" s="37" t="s">
        <v>146</v>
      </c>
      <c r="C137" s="53">
        <v>25.796365025328601</v>
      </c>
      <c r="D137" s="53">
        <v>1.81824521751621</v>
      </c>
      <c r="E137" s="53">
        <v>309.30511552377601</v>
      </c>
      <c r="F137" s="53">
        <v>25.796365025328601</v>
      </c>
      <c r="G137" s="53">
        <v>309.30511552377601</v>
      </c>
      <c r="H137" s="54" t="s">
        <v>185</v>
      </c>
      <c r="I137" s="55">
        <v>2.6800448899995799</v>
      </c>
      <c r="J137" s="55">
        <v>34.705947068131699</v>
      </c>
      <c r="K137" s="55">
        <v>0.83777552039159697</v>
      </c>
      <c r="L137" s="55">
        <v>22.278544614937498</v>
      </c>
      <c r="M137" s="55">
        <v>236.83018418506401</v>
      </c>
      <c r="N137" s="56">
        <v>0.83777552039159697</v>
      </c>
      <c r="O137" s="56">
        <f>(O136+0.0589721844136269)</f>
        <v>37.768983334994523</v>
      </c>
      <c r="P137" s="56">
        <f t="shared" si="7"/>
        <v>72.474931338711997</v>
      </c>
    </row>
    <row r="138" spans="1:16" x14ac:dyDescent="0.25">
      <c r="A138" s="37" t="s">
        <v>146</v>
      </c>
      <c r="B138" s="37" t="s">
        <v>147</v>
      </c>
      <c r="C138" s="53">
        <v>25.8646459563906</v>
      </c>
      <c r="D138" s="53">
        <v>0.62850945884820297</v>
      </c>
      <c r="E138" s="53">
        <v>309.933624982624</v>
      </c>
      <c r="F138" s="53">
        <v>25.8646459563906</v>
      </c>
      <c r="G138" s="53">
        <v>309.933624982624</v>
      </c>
      <c r="H138" s="54" t="s">
        <v>185</v>
      </c>
      <c r="I138" s="55">
        <v>2.6800448899995799</v>
      </c>
      <c r="J138" s="55">
        <v>34.766994136398097</v>
      </c>
      <c r="K138" s="55">
        <v>0.83777552039159697</v>
      </c>
      <c r="L138" s="55">
        <v>22.346825545999401</v>
      </c>
      <c r="M138" s="55">
        <v>237.3808393507</v>
      </c>
      <c r="N138" s="56">
        <v>0.83777552039159697</v>
      </c>
      <c r="O138" s="56">
        <f>(O137+0.0168072249461304)</f>
        <v>37.785790559940651</v>
      </c>
      <c r="P138" s="56">
        <f t="shared" si="7"/>
        <v>72.552785631923996</v>
      </c>
    </row>
    <row r="139" spans="1:16" x14ac:dyDescent="0.25">
      <c r="A139" s="37" t="s">
        <v>147</v>
      </c>
      <c r="B139" s="37" t="s">
        <v>149</v>
      </c>
      <c r="C139" s="53">
        <v>36.792912402620203</v>
      </c>
      <c r="D139" s="53">
        <v>7.0193913183019498</v>
      </c>
      <c r="E139" s="53">
        <v>316.95301630092598</v>
      </c>
      <c r="F139" s="53">
        <v>36.792912402620203</v>
      </c>
      <c r="G139" s="53">
        <v>316.95301630092598</v>
      </c>
      <c r="H139" s="54" t="s">
        <v>185</v>
      </c>
      <c r="I139" s="55">
        <v>3.4058782233328002</v>
      </c>
      <c r="J139" s="55">
        <v>35.408224295729298</v>
      </c>
      <c r="K139" s="55">
        <v>0.83777552039159697</v>
      </c>
      <c r="L139" s="55">
        <v>32.549258658895802</v>
      </c>
      <c r="M139" s="55">
        <v>243.60127116786799</v>
      </c>
      <c r="N139" s="56">
        <v>0.83777552039159697</v>
      </c>
      <c r="O139" s="56">
        <f>(O138+0.157729341802126)</f>
        <v>37.943519901742775</v>
      </c>
      <c r="P139" s="56">
        <f t="shared" si="7"/>
        <v>73.351745133057989</v>
      </c>
    </row>
    <row r="140" spans="1:16" x14ac:dyDescent="0.25">
      <c r="A140" s="37" t="s">
        <v>149</v>
      </c>
      <c r="B140" s="37" t="s">
        <v>150</v>
      </c>
      <c r="C140" s="53">
        <v>37.773736355733</v>
      </c>
      <c r="D140" s="53">
        <v>0.641488811372107</v>
      </c>
      <c r="E140" s="53">
        <v>317.59450511229801</v>
      </c>
      <c r="F140" s="53">
        <v>37.773736355733</v>
      </c>
      <c r="G140" s="53">
        <v>317.59450511229801</v>
      </c>
      <c r="H140" s="54" t="s">
        <v>185</v>
      </c>
      <c r="I140" s="55">
        <v>3.4058782233328002</v>
      </c>
      <c r="J140" s="55">
        <v>35.469271363995801</v>
      </c>
      <c r="K140" s="55">
        <v>0.83777552039159697</v>
      </c>
      <c r="L140" s="55">
        <v>33.530082612008599</v>
      </c>
      <c r="M140" s="55">
        <v>244.16490568602799</v>
      </c>
      <c r="N140" s="56">
        <v>0.83777552039159697</v>
      </c>
      <c r="O140" s="56">
        <f>(O139+0.0168072249461304)</f>
        <v>37.960327126688902</v>
      </c>
      <c r="P140" s="56">
        <f t="shared" si="7"/>
        <v>73.429599426270016</v>
      </c>
    </row>
    <row r="141" spans="1:16" x14ac:dyDescent="0.25">
      <c r="A141" s="37" t="s">
        <v>150</v>
      </c>
      <c r="B141" s="37" t="s">
        <v>152</v>
      </c>
      <c r="C141" s="53">
        <v>26.1777636087375</v>
      </c>
      <c r="D141" s="53">
        <v>8.18578799997311</v>
      </c>
      <c r="E141" s="53">
        <v>325.78029311227101</v>
      </c>
      <c r="F141" s="53">
        <v>26.1777636087375</v>
      </c>
      <c r="G141" s="53">
        <v>325.78029311227101</v>
      </c>
      <c r="H141" s="54" t="s">
        <v>185</v>
      </c>
      <c r="I141" s="55">
        <v>2.6800448899995799</v>
      </c>
      <c r="J141" s="55">
        <v>36.313718034736397</v>
      </c>
      <c r="K141" s="55">
        <v>0.83777552039159697</v>
      </c>
      <c r="L141" s="55">
        <v>22.659943198346301</v>
      </c>
      <c r="M141" s="55">
        <v>251.242275037902</v>
      </c>
      <c r="N141" s="56">
        <v>0.83777552039159697</v>
      </c>
      <c r="O141" s="56">
        <f>(O140+0.263971977358467)</f>
        <v>38.224299104047368</v>
      </c>
      <c r="P141" s="56">
        <f t="shared" si="7"/>
        <v>74.538018074369006</v>
      </c>
    </row>
    <row r="142" spans="1:16" x14ac:dyDescent="0.25">
      <c r="A142" s="37" t="s">
        <v>152</v>
      </c>
      <c r="B142" s="37" t="s">
        <v>153</v>
      </c>
      <c r="C142" s="53">
        <v>25.781181959033798</v>
      </c>
      <c r="D142" s="53">
        <v>3.99562860010455</v>
      </c>
      <c r="E142" s="53">
        <v>329.77592171237598</v>
      </c>
      <c r="F142" s="53">
        <v>25.781181959033798</v>
      </c>
      <c r="G142" s="53">
        <v>329.77592171237598</v>
      </c>
      <c r="H142" s="54" t="s">
        <v>185</v>
      </c>
      <c r="I142" s="55">
        <v>2.6800448899995799</v>
      </c>
      <c r="J142" s="55">
        <v>36.716961815284201</v>
      </c>
      <c r="K142" s="55">
        <v>0.83777552039159697</v>
      </c>
      <c r="L142" s="55">
        <v>22.2633615486426</v>
      </c>
      <c r="M142" s="55">
        <v>254.757088205158</v>
      </c>
      <c r="N142" s="56">
        <v>0.83777552039159697</v>
      </c>
      <c r="O142" s="56">
        <f>(O141+0.0775716523000515)</f>
        <v>38.301870756347419</v>
      </c>
      <c r="P142" s="56">
        <f t="shared" si="7"/>
        <v>75.018833507217977</v>
      </c>
    </row>
    <row r="143" spans="1:16" x14ac:dyDescent="0.25">
      <c r="A143" s="37" t="s">
        <v>153</v>
      </c>
      <c r="B143" s="37" t="s">
        <v>250</v>
      </c>
      <c r="C143" s="53">
        <v>60.524568414725202</v>
      </c>
      <c r="D143" s="53">
        <v>12.654758238474599</v>
      </c>
      <c r="E143" s="53">
        <v>342.43067995084999</v>
      </c>
      <c r="F143" s="53">
        <v>60.524568414725202</v>
      </c>
      <c r="G143" s="53">
        <v>342.43067995084999</v>
      </c>
      <c r="H143" s="54" t="s">
        <v>185</v>
      </c>
      <c r="I143" s="55">
        <v>6.0300381899990603</v>
      </c>
      <c r="J143" s="55">
        <v>38.040315817221803</v>
      </c>
      <c r="K143" s="55">
        <v>0.83777552039159697</v>
      </c>
      <c r="L143" s="55">
        <v>53.656754704334503</v>
      </c>
      <c r="M143" s="55">
        <v>265.904633973025</v>
      </c>
      <c r="N143" s="56">
        <v>0.83777552039159697</v>
      </c>
      <c r="O143" s="56">
        <f>(O142+0.183858468670129)</f>
        <v>38.48572922501755</v>
      </c>
      <c r="P143" s="56">
        <f t="shared" si="7"/>
        <v>76.526045977824992</v>
      </c>
    </row>
    <row r="144" spans="1:16" x14ac:dyDescent="0.25">
      <c r="A144" s="37" t="s">
        <v>250</v>
      </c>
      <c r="B144" s="37" t="s">
        <v>266</v>
      </c>
      <c r="C144" s="53">
        <v>54.801603345023999</v>
      </c>
      <c r="D144" s="53">
        <v>6.1949658160005301</v>
      </c>
      <c r="E144" s="53">
        <v>348.62564576685099</v>
      </c>
      <c r="F144" s="53">
        <v>54.801603345023999</v>
      </c>
      <c r="G144" s="53">
        <v>348.62564576685099</v>
      </c>
      <c r="H144" s="54" t="s">
        <v>185</v>
      </c>
      <c r="I144" s="55">
        <v>6.0300381899990603</v>
      </c>
      <c r="J144" s="55">
        <v>38.7269723119364</v>
      </c>
      <c r="K144" s="55">
        <v>0.83777552039159697</v>
      </c>
      <c r="L144" s="55">
        <v>47.9337896346333</v>
      </c>
      <c r="M144" s="55">
        <v>271.31754356647099</v>
      </c>
      <c r="N144" s="56">
        <v>0.83777552039159697</v>
      </c>
      <c r="O144" s="56">
        <f>(O143+0.0953997278398387)</f>
        <v>38.581128952857391</v>
      </c>
      <c r="P144" s="56">
        <f t="shared" si="7"/>
        <v>77.308102200380006</v>
      </c>
    </row>
    <row r="145" spans="1:16" x14ac:dyDescent="0.25">
      <c r="A145" s="37" t="s">
        <v>266</v>
      </c>
      <c r="B145" s="37" t="s">
        <v>185</v>
      </c>
      <c r="C145" s="53">
        <v>54.003543751856199</v>
      </c>
      <c r="D145" s="53">
        <v>0</v>
      </c>
      <c r="E145" s="53">
        <v>348.62564576685099</v>
      </c>
      <c r="F145" s="53">
        <v>54.003543751856199</v>
      </c>
      <c r="G145" s="53">
        <f>G144</f>
        <v>348.62564576685099</v>
      </c>
      <c r="H145" s="54" t="s">
        <v>185</v>
      </c>
      <c r="I145" s="55">
        <v>6.0300381899990603</v>
      </c>
      <c r="J145" s="55">
        <v>38.7269723119364</v>
      </c>
      <c r="K145" s="55">
        <v>0.83777552039159697</v>
      </c>
      <c r="L145" s="55">
        <v>47.1357300414656</v>
      </c>
      <c r="M145" s="55">
        <v>271.31754356647099</v>
      </c>
      <c r="N145" s="56">
        <v>0.83777552039159697</v>
      </c>
      <c r="O145" s="56">
        <f>O144</f>
        <v>38.581128952857391</v>
      </c>
      <c r="P145" s="56">
        <f t="shared" si="7"/>
        <v>77.308102200380006</v>
      </c>
    </row>
    <row r="148" spans="1:16" x14ac:dyDescent="0.25">
      <c r="A148" s="25" t="s">
        <v>155</v>
      </c>
      <c r="B148" s="27" t="s">
        <v>155</v>
      </c>
      <c r="C148" s="27" t="s">
        <v>155</v>
      </c>
      <c r="D148" s="27" t="s">
        <v>155</v>
      </c>
      <c r="E148" s="27" t="s">
        <v>155</v>
      </c>
      <c r="F148" s="27" t="s">
        <v>155</v>
      </c>
      <c r="G148" s="27" t="s">
        <v>155</v>
      </c>
      <c r="H148" s="27" t="s">
        <v>155</v>
      </c>
      <c r="I148" s="27" t="s">
        <v>155</v>
      </c>
      <c r="J148" s="27" t="s">
        <v>155</v>
      </c>
      <c r="K148" s="27" t="s">
        <v>155</v>
      </c>
      <c r="L148" s="27" t="s">
        <v>155</v>
      </c>
      <c r="M148" s="27" t="s">
        <v>155</v>
      </c>
      <c r="N148" s="27" t="s">
        <v>155</v>
      </c>
      <c r="O148" s="27" t="s">
        <v>155</v>
      </c>
      <c r="P148" s="26" t="s">
        <v>155</v>
      </c>
    </row>
    <row r="149" spans="1:16" x14ac:dyDescent="0.25">
      <c r="A149" s="11" t="s">
        <v>212</v>
      </c>
      <c r="B149" s="11" t="s">
        <v>213</v>
      </c>
      <c r="C149" s="9" t="s">
        <v>214</v>
      </c>
      <c r="D149" s="9" t="s">
        <v>215</v>
      </c>
      <c r="E149" s="9" t="s">
        <v>216</v>
      </c>
      <c r="F149" s="8" t="s">
        <v>20</v>
      </c>
      <c r="G149" s="26"/>
      <c r="H149" s="7" t="s">
        <v>19</v>
      </c>
      <c r="I149" s="27"/>
      <c r="J149" s="26"/>
      <c r="K149" s="7" t="s">
        <v>20</v>
      </c>
      <c r="L149" s="27"/>
      <c r="M149" s="26"/>
      <c r="N149" s="6" t="s">
        <v>217</v>
      </c>
      <c r="O149" s="26"/>
      <c r="P149" s="5" t="s">
        <v>218</v>
      </c>
    </row>
    <row r="150" spans="1:16" ht="30" x14ac:dyDescent="0.25">
      <c r="A150" s="10"/>
      <c r="B150" s="10"/>
      <c r="C150" s="10"/>
      <c r="D150" s="10"/>
      <c r="E150" s="10"/>
      <c r="F150" s="50" t="s">
        <v>219</v>
      </c>
      <c r="G150" s="50" t="s">
        <v>220</v>
      </c>
      <c r="H150" s="51" t="s">
        <v>221</v>
      </c>
      <c r="I150" s="51" t="s">
        <v>219</v>
      </c>
      <c r="J150" s="51" t="s">
        <v>220</v>
      </c>
      <c r="K150" s="51" t="s">
        <v>221</v>
      </c>
      <c r="L150" s="51" t="s">
        <v>219</v>
      </c>
      <c r="M150" s="51" t="s">
        <v>220</v>
      </c>
      <c r="N150" s="52" t="s">
        <v>219</v>
      </c>
      <c r="O150" s="52" t="s">
        <v>220</v>
      </c>
      <c r="P150" s="10"/>
    </row>
    <row r="151" spans="1:16" x14ac:dyDescent="0.25">
      <c r="A151" s="37" t="s">
        <v>267</v>
      </c>
      <c r="B151" s="37" t="s">
        <v>243</v>
      </c>
      <c r="C151" s="53">
        <v>20.9259438435116</v>
      </c>
      <c r="D151" s="53">
        <v>1.3965442718763701</v>
      </c>
      <c r="E151" s="53">
        <v>1.3965442718763701</v>
      </c>
      <c r="F151" s="53">
        <v>20.9259438435116</v>
      </c>
      <c r="G151" s="53">
        <v>1.3965442718763701</v>
      </c>
      <c r="H151" s="54" t="s">
        <v>185</v>
      </c>
      <c r="I151" s="55">
        <v>5.6950388599991104</v>
      </c>
      <c r="J151" s="55">
        <v>0.36068484529345801</v>
      </c>
      <c r="K151" s="55">
        <v>1.98266996963731</v>
      </c>
      <c r="L151" s="55">
        <v>13.248235013875201</v>
      </c>
      <c r="M151" s="55">
        <v>0.88316986307363898</v>
      </c>
      <c r="N151" s="56">
        <v>1.98266996963731</v>
      </c>
      <c r="O151" s="56">
        <v>0.15268956350924301</v>
      </c>
      <c r="P151" s="56">
        <f t="shared" ref="P151:P176" si="8">(E151-M151)</f>
        <v>0.51337440880273111</v>
      </c>
    </row>
    <row r="152" spans="1:16" x14ac:dyDescent="0.25">
      <c r="A152" s="37" t="s">
        <v>243</v>
      </c>
      <c r="B152" s="37" t="s">
        <v>158</v>
      </c>
      <c r="C152" s="53">
        <v>23.175570272359199</v>
      </c>
      <c r="D152" s="53">
        <v>7.0943071349436</v>
      </c>
      <c r="E152" s="53">
        <v>8.4908514068199707</v>
      </c>
      <c r="F152" s="53">
        <v>23.175570272359199</v>
      </c>
      <c r="G152" s="53">
        <v>8.4908514068199707</v>
      </c>
      <c r="H152" s="54" t="s">
        <v>185</v>
      </c>
      <c r="I152" s="55">
        <v>5.6950388599991104</v>
      </c>
      <c r="J152" s="55">
        <v>1.79288070572754</v>
      </c>
      <c r="K152" s="55">
        <v>2.8391184090451702</v>
      </c>
      <c r="L152" s="55">
        <v>14.641413003315</v>
      </c>
      <c r="M152" s="55">
        <v>5.3979084919143503</v>
      </c>
      <c r="N152" s="56">
        <v>2.8391184090451702</v>
      </c>
      <c r="O152" s="56">
        <f>(O151+1.14737264566874)</f>
        <v>1.300062209177983</v>
      </c>
      <c r="P152" s="56">
        <f t="shared" si="8"/>
        <v>3.0929429149056205</v>
      </c>
    </row>
    <row r="153" spans="1:16" x14ac:dyDescent="0.25">
      <c r="A153" s="37" t="s">
        <v>158</v>
      </c>
      <c r="B153" s="37" t="s">
        <v>159</v>
      </c>
      <c r="C153" s="53">
        <v>33.244582772947503</v>
      </c>
      <c r="D153" s="53">
        <v>1.96750818971916</v>
      </c>
      <c r="E153" s="53">
        <v>10.458359596539101</v>
      </c>
      <c r="F153" s="53">
        <v>33.244582772947503</v>
      </c>
      <c r="G153" s="53">
        <v>10.458359596539101</v>
      </c>
      <c r="H153" s="54" t="s">
        <v>185</v>
      </c>
      <c r="I153" s="55">
        <v>5.6950388599991104</v>
      </c>
      <c r="J153" s="55">
        <v>2.14184183101339</v>
      </c>
      <c r="K153" s="55">
        <v>6.2857952769963497</v>
      </c>
      <c r="L153" s="55">
        <v>21.263748635951998</v>
      </c>
      <c r="M153" s="55">
        <v>6.4574358034163604</v>
      </c>
      <c r="N153" s="56">
        <v>6.2857952769963497</v>
      </c>
      <c r="O153" s="56">
        <f>(O152+0.559021691481628)</f>
        <v>1.8590839006596109</v>
      </c>
      <c r="P153" s="56">
        <f t="shared" si="8"/>
        <v>4.0009237931227402</v>
      </c>
    </row>
    <row r="154" spans="1:16" x14ac:dyDescent="0.25">
      <c r="A154" s="37" t="s">
        <v>159</v>
      </c>
      <c r="B154" s="37" t="s">
        <v>244</v>
      </c>
      <c r="C154" s="53">
        <v>13.975708220896299</v>
      </c>
      <c r="D154" s="53">
        <v>10.4345537188434</v>
      </c>
      <c r="E154" s="53">
        <v>20.892913315382501</v>
      </c>
      <c r="F154" s="53">
        <v>13.975708220896299</v>
      </c>
      <c r="G154" s="53">
        <v>20.892913315382501</v>
      </c>
      <c r="H154" s="54" t="s">
        <v>185</v>
      </c>
      <c r="I154" s="55">
        <v>2.6800448970292599</v>
      </c>
      <c r="J154" s="55">
        <v>3.7260470174134102</v>
      </c>
      <c r="K154" s="55">
        <v>7.1307521516581298</v>
      </c>
      <c r="L154" s="55">
        <v>4.1649111722088703</v>
      </c>
      <c r="M154" s="55">
        <v>10.993426724667099</v>
      </c>
      <c r="N154" s="56">
        <v>7.1307521516581298</v>
      </c>
      <c r="O154" s="56">
        <f>(O153+4.31437134023028)</f>
        <v>6.1734552408898908</v>
      </c>
      <c r="P154" s="56">
        <f t="shared" si="8"/>
        <v>9.8994865907154015</v>
      </c>
    </row>
    <row r="155" spans="1:16" x14ac:dyDescent="0.25">
      <c r="A155" s="37" t="s">
        <v>244</v>
      </c>
      <c r="B155" s="37" t="s">
        <v>161</v>
      </c>
      <c r="C155" s="53">
        <v>21.329152873953198</v>
      </c>
      <c r="D155" s="53">
        <v>14.2012552865438</v>
      </c>
      <c r="E155" s="53">
        <v>35.094168601926299</v>
      </c>
      <c r="F155" s="53">
        <v>21.329152873953198</v>
      </c>
      <c r="G155" s="53">
        <v>35.094168601926299</v>
      </c>
      <c r="H155" s="54" t="s">
        <v>185</v>
      </c>
      <c r="I155" s="55">
        <v>2.6800448899995799</v>
      </c>
      <c r="J155" s="55">
        <v>5.39023698206171</v>
      </c>
      <c r="K155" s="55">
        <v>7.46673663249216</v>
      </c>
      <c r="L155" s="55">
        <v>11.1823713514615</v>
      </c>
      <c r="M155" s="55">
        <v>18.893976805625201</v>
      </c>
      <c r="N155" s="56">
        <v>7.46673663249216</v>
      </c>
      <c r="O155" s="56">
        <f>(O154+4.63651514826575)</f>
        <v>10.809970389155641</v>
      </c>
      <c r="P155" s="56">
        <f t="shared" si="8"/>
        <v>16.200191796301098</v>
      </c>
    </row>
    <row r="156" spans="1:16" x14ac:dyDescent="0.25">
      <c r="A156" s="37" t="s">
        <v>161</v>
      </c>
      <c r="B156" s="37" t="s">
        <v>162</v>
      </c>
      <c r="C156" s="53">
        <v>24.4108171732681</v>
      </c>
      <c r="D156" s="53">
        <v>2.18145440822201</v>
      </c>
      <c r="E156" s="53">
        <v>37.275623010148301</v>
      </c>
      <c r="F156" s="53">
        <v>24.4108171732681</v>
      </c>
      <c r="G156" s="53">
        <v>37.275623010148301</v>
      </c>
      <c r="H156" s="54" t="s">
        <v>185</v>
      </c>
      <c r="I156" s="55">
        <v>2.6800448935302601</v>
      </c>
      <c r="J156" s="55">
        <v>5.6096094639796297</v>
      </c>
      <c r="K156" s="55">
        <v>7.4667364814029602</v>
      </c>
      <c r="L156" s="55">
        <v>14.2640357983349</v>
      </c>
      <c r="M156" s="55">
        <v>20.418194542368902</v>
      </c>
      <c r="N156" s="56">
        <v>7.4667364814029602</v>
      </c>
      <c r="O156" s="56">
        <f>(O155+0.437864182969483)</f>
        <v>11.247834572125123</v>
      </c>
      <c r="P156" s="56">
        <f t="shared" si="8"/>
        <v>16.8574284677794</v>
      </c>
    </row>
    <row r="157" spans="1:16" x14ac:dyDescent="0.25">
      <c r="A157" s="37" t="s">
        <v>162</v>
      </c>
      <c r="B157" s="37" t="s">
        <v>245</v>
      </c>
      <c r="C157" s="53">
        <v>49.988259486093902</v>
      </c>
      <c r="D157" s="53">
        <v>12.4181395110091</v>
      </c>
      <c r="E157" s="53">
        <v>49.693762521157403</v>
      </c>
      <c r="F157" s="53">
        <v>49.988259486093902</v>
      </c>
      <c r="G157" s="53">
        <v>49.693762521157403</v>
      </c>
      <c r="H157" s="54" t="s">
        <v>185</v>
      </c>
      <c r="I157" s="55">
        <v>4.8017115566659196</v>
      </c>
      <c r="J157" s="55">
        <v>6.7924050493190196</v>
      </c>
      <c r="K157" s="55">
        <v>7.4667367061880103</v>
      </c>
      <c r="L157" s="55">
        <v>37.719811223239901</v>
      </c>
      <c r="M157" s="55">
        <v>29.814272800214301</v>
      </c>
      <c r="N157" s="56">
        <v>7.4667367061880103</v>
      </c>
      <c r="O157" s="56">
        <f>(O156+1.83926566782429)</f>
        <v>13.087100239949413</v>
      </c>
      <c r="P157" s="56">
        <f t="shared" si="8"/>
        <v>19.879489720943102</v>
      </c>
    </row>
    <row r="158" spans="1:16" x14ac:dyDescent="0.25">
      <c r="A158" s="37" t="s">
        <v>245</v>
      </c>
      <c r="B158" s="37" t="s">
        <v>164</v>
      </c>
      <c r="C158" s="53">
        <v>50.837825327525302</v>
      </c>
      <c r="D158" s="53">
        <v>0.97073954632483705</v>
      </c>
      <c r="E158" s="53">
        <v>50.664502067482204</v>
      </c>
      <c r="F158" s="53">
        <v>50.837825327525302</v>
      </c>
      <c r="G158" s="53">
        <v>50.664502067482204</v>
      </c>
      <c r="H158" s="54" t="s">
        <v>185</v>
      </c>
      <c r="I158" s="55">
        <v>4.8017115566659196</v>
      </c>
      <c r="J158" s="55">
        <v>6.8841378401316797</v>
      </c>
      <c r="K158" s="55">
        <v>7.4667367061880103</v>
      </c>
      <c r="L158" s="55">
        <v>38.5693770646714</v>
      </c>
      <c r="M158" s="55">
        <v>30.550633628698399</v>
      </c>
      <c r="N158" s="56">
        <v>7.4667367061880103</v>
      </c>
      <c r="O158" s="56">
        <f>(O157+0.142645927028057)</f>
        <v>13.229746166977471</v>
      </c>
      <c r="P158" s="56">
        <f t="shared" si="8"/>
        <v>20.113868438783804</v>
      </c>
    </row>
    <row r="159" spans="1:16" x14ac:dyDescent="0.25">
      <c r="A159" s="37" t="s">
        <v>164</v>
      </c>
      <c r="B159" s="37" t="s">
        <v>165</v>
      </c>
      <c r="C159" s="53">
        <v>50.788022023395698</v>
      </c>
      <c r="D159" s="53">
        <v>2.2074143101495101</v>
      </c>
      <c r="E159" s="53">
        <v>52.871916377631699</v>
      </c>
      <c r="F159" s="53">
        <v>50.788022023395698</v>
      </c>
      <c r="G159" s="53">
        <v>52.871916377631699</v>
      </c>
      <c r="H159" s="54" t="s">
        <v>185</v>
      </c>
      <c r="I159" s="55">
        <v>4.8017115566659196</v>
      </c>
      <c r="J159" s="55">
        <v>7.1035103285369896</v>
      </c>
      <c r="K159" s="55">
        <v>7.4667367061880103</v>
      </c>
      <c r="L159" s="55">
        <v>38.519573760541803</v>
      </c>
      <c r="M159" s="55">
        <v>32.100811260882203</v>
      </c>
      <c r="N159" s="56">
        <v>7.4667367061880103</v>
      </c>
      <c r="O159" s="56">
        <f>(O158+0.437864189560403)</f>
        <v>13.667610356537873</v>
      </c>
      <c r="P159" s="56">
        <f t="shared" si="8"/>
        <v>20.771105116749496</v>
      </c>
    </row>
    <row r="160" spans="1:16" x14ac:dyDescent="0.25">
      <c r="A160" s="37" t="s">
        <v>165</v>
      </c>
      <c r="B160" s="37" t="s">
        <v>246</v>
      </c>
      <c r="C160" s="53">
        <v>24.496423922756801</v>
      </c>
      <c r="D160" s="53">
        <v>19.828204591558901</v>
      </c>
      <c r="E160" s="53">
        <v>72.700120969190706</v>
      </c>
      <c r="F160" s="53">
        <v>24.496423922756801</v>
      </c>
      <c r="G160" s="53">
        <v>72.700120969190706</v>
      </c>
      <c r="H160" s="54" t="s">
        <v>185</v>
      </c>
      <c r="I160" s="55">
        <v>2.6800448899995799</v>
      </c>
      <c r="J160" s="55">
        <v>9.3766701724359809</v>
      </c>
      <c r="K160" s="55">
        <v>7.4667367061880103</v>
      </c>
      <c r="L160" s="55">
        <v>14.349642326569199</v>
      </c>
      <c r="M160" s="55">
        <v>43.322721026808402</v>
      </c>
      <c r="N160" s="56">
        <v>7.4667367061880103</v>
      </c>
      <c r="O160" s="56">
        <f>(O159+6.33313498173374)</f>
        <v>20.000745338271614</v>
      </c>
      <c r="P160" s="56">
        <f t="shared" si="8"/>
        <v>29.377399942382304</v>
      </c>
    </row>
    <row r="161" spans="1:16" x14ac:dyDescent="0.25">
      <c r="A161" s="37" t="s">
        <v>246</v>
      </c>
      <c r="B161" s="37" t="s">
        <v>247</v>
      </c>
      <c r="C161" s="53">
        <v>22.2582981757349</v>
      </c>
      <c r="D161" s="53">
        <v>21.140580246800301</v>
      </c>
      <c r="E161" s="53">
        <v>93.840701215991004</v>
      </c>
      <c r="F161" s="53">
        <v>22.2582981757349</v>
      </c>
      <c r="G161" s="53">
        <v>93.840701215991004</v>
      </c>
      <c r="H161" s="54" t="s">
        <v>185</v>
      </c>
      <c r="I161" s="55">
        <v>2.6800448899995799</v>
      </c>
      <c r="J161" s="55">
        <v>11.8581932187319</v>
      </c>
      <c r="K161" s="55">
        <v>7.4667367061880103</v>
      </c>
      <c r="L161" s="55">
        <v>12.111516579547301</v>
      </c>
      <c r="M161" s="55">
        <v>55.068133128990603</v>
      </c>
      <c r="N161" s="56">
        <v>7.4667367061880103</v>
      </c>
      <c r="O161" s="56">
        <f t="shared" ref="O161:O171" si="9">(O160+6.9136450983222)</f>
        <v>26.914390436593813</v>
      </c>
      <c r="P161" s="56">
        <f t="shared" si="8"/>
        <v>38.772568087000401</v>
      </c>
    </row>
    <row r="162" spans="1:16" x14ac:dyDescent="0.25">
      <c r="A162" s="37" t="s">
        <v>247</v>
      </c>
      <c r="B162" s="37" t="s">
        <v>248</v>
      </c>
      <c r="C162" s="53">
        <v>23.405355157353998</v>
      </c>
      <c r="D162" s="53">
        <v>22.196969309640199</v>
      </c>
      <c r="E162" s="53">
        <v>116.037670525631</v>
      </c>
      <c r="F162" s="53">
        <v>23.405355157353998</v>
      </c>
      <c r="G162" s="53">
        <v>116.037670525631</v>
      </c>
      <c r="H162" s="54" t="s">
        <v>185</v>
      </c>
      <c r="I162" s="55">
        <v>2.6800448899995799</v>
      </c>
      <c r="J162" s="55">
        <v>14.3397162650278</v>
      </c>
      <c r="K162" s="55">
        <v>7.4667367061880103</v>
      </c>
      <c r="L162" s="55">
        <v>13.258573561166401</v>
      </c>
      <c r="M162" s="55">
        <v>67.869934294012694</v>
      </c>
      <c r="N162" s="56">
        <v>7.4667367061880103</v>
      </c>
      <c r="O162" s="56">
        <f t="shared" si="9"/>
        <v>33.828035534916012</v>
      </c>
      <c r="P162" s="56">
        <f t="shared" si="8"/>
        <v>48.167736231618306</v>
      </c>
    </row>
    <row r="163" spans="1:16" x14ac:dyDescent="0.25">
      <c r="A163" s="37" t="s">
        <v>248</v>
      </c>
      <c r="B163" s="37" t="s">
        <v>249</v>
      </c>
      <c r="C163" s="53">
        <v>24.540098551469001</v>
      </c>
      <c r="D163" s="53">
        <v>23.2659879088088</v>
      </c>
      <c r="E163" s="53">
        <v>139.30365843444</v>
      </c>
      <c r="F163" s="53">
        <v>24.540098551469001</v>
      </c>
      <c r="G163" s="53">
        <v>139.30365843444</v>
      </c>
      <c r="H163" s="54" t="s">
        <v>185</v>
      </c>
      <c r="I163" s="55">
        <v>2.6800448899995799</v>
      </c>
      <c r="J163" s="55">
        <v>16.821239311323701</v>
      </c>
      <c r="K163" s="55">
        <v>7.4667367061880103</v>
      </c>
      <c r="L163" s="55">
        <v>14.393316955281399</v>
      </c>
      <c r="M163" s="55">
        <v>81.740754058203393</v>
      </c>
      <c r="N163" s="56">
        <v>7.4667367061880103</v>
      </c>
      <c r="O163" s="56">
        <f t="shared" si="9"/>
        <v>40.741680633238211</v>
      </c>
      <c r="P163" s="56">
        <f t="shared" si="8"/>
        <v>57.562904376236602</v>
      </c>
    </row>
    <row r="164" spans="1:16" x14ac:dyDescent="0.25">
      <c r="A164" s="37" t="s">
        <v>249</v>
      </c>
      <c r="B164" s="37" t="s">
        <v>250</v>
      </c>
      <c r="C164" s="53">
        <v>25.7144353315581</v>
      </c>
      <c r="D164" s="53">
        <v>24.347938060651899</v>
      </c>
      <c r="E164" s="53">
        <v>163.65159649509201</v>
      </c>
      <c r="F164" s="53">
        <v>25.7144353315581</v>
      </c>
      <c r="G164" s="53">
        <v>163.65159649509201</v>
      </c>
      <c r="H164" s="54" t="s">
        <v>185</v>
      </c>
      <c r="I164" s="55">
        <v>2.6800448899995799</v>
      </c>
      <c r="J164" s="55">
        <v>19.302762357619599</v>
      </c>
      <c r="K164" s="55">
        <v>7.4667367061880103</v>
      </c>
      <c r="L164" s="55">
        <v>15.5676537353706</v>
      </c>
      <c r="M164" s="55">
        <v>96.693523974237195</v>
      </c>
      <c r="N164" s="56">
        <v>7.4667367061880103</v>
      </c>
      <c r="O164" s="56">
        <f t="shared" si="9"/>
        <v>47.65532573156041</v>
      </c>
      <c r="P164" s="56">
        <f t="shared" si="8"/>
        <v>66.958072520854813</v>
      </c>
    </row>
    <row r="165" spans="1:16" x14ac:dyDescent="0.25">
      <c r="A165" s="37" t="s">
        <v>250</v>
      </c>
      <c r="B165" s="37" t="s">
        <v>251</v>
      </c>
      <c r="C165" s="53">
        <v>26.8771108794502</v>
      </c>
      <c r="D165" s="53">
        <v>25.424253088439698</v>
      </c>
      <c r="E165" s="53">
        <v>189.075849583532</v>
      </c>
      <c r="F165" s="53">
        <v>26.8771108794502</v>
      </c>
      <c r="G165" s="53">
        <v>189.075849583532</v>
      </c>
      <c r="H165" s="54" t="s">
        <v>185</v>
      </c>
      <c r="I165" s="55">
        <v>2.6800448899995799</v>
      </c>
      <c r="J165" s="55">
        <v>21.784285403915501</v>
      </c>
      <c r="K165" s="55">
        <v>7.4667367061880103</v>
      </c>
      <c r="L165" s="55">
        <v>16.730329283262702</v>
      </c>
      <c r="M165" s="55">
        <v>112.722608918059</v>
      </c>
      <c r="N165" s="56">
        <v>7.4667367061880103</v>
      </c>
      <c r="O165" s="56">
        <f t="shared" si="9"/>
        <v>54.568970829882609</v>
      </c>
      <c r="P165" s="56">
        <f t="shared" si="8"/>
        <v>76.35324066547301</v>
      </c>
    </row>
    <row r="166" spans="1:16" x14ac:dyDescent="0.25">
      <c r="A166" s="37" t="s">
        <v>251</v>
      </c>
      <c r="B166" s="37" t="s">
        <v>252</v>
      </c>
      <c r="C166" s="53">
        <v>28.039275791579801</v>
      </c>
      <c r="D166" s="53">
        <v>26.516912001413399</v>
      </c>
      <c r="E166" s="53">
        <v>215.59276158494501</v>
      </c>
      <c r="F166" s="53">
        <v>28.039275791579801</v>
      </c>
      <c r="G166" s="53">
        <v>215.59276158494501</v>
      </c>
      <c r="H166" s="54" t="s">
        <v>185</v>
      </c>
      <c r="I166" s="55">
        <v>2.6800448899995799</v>
      </c>
      <c r="J166" s="55">
        <v>24.265808450211399</v>
      </c>
      <c r="K166" s="55">
        <v>7.4667367061880103</v>
      </c>
      <c r="L166" s="55">
        <v>17.892494195392199</v>
      </c>
      <c r="M166" s="55">
        <v>129.844352774854</v>
      </c>
      <c r="N166" s="56">
        <v>7.4667367061880103</v>
      </c>
      <c r="O166" s="56">
        <f t="shared" si="9"/>
        <v>61.482615928204808</v>
      </c>
      <c r="P166" s="56">
        <f t="shared" si="8"/>
        <v>85.748408810091007</v>
      </c>
    </row>
    <row r="167" spans="1:16" x14ac:dyDescent="0.25">
      <c r="A167" s="37" t="s">
        <v>252</v>
      </c>
      <c r="B167" s="37" t="s">
        <v>253</v>
      </c>
      <c r="C167" s="53">
        <v>29.237254131473399</v>
      </c>
      <c r="D167" s="53">
        <v>27.614100565899498</v>
      </c>
      <c r="E167" s="53">
        <v>243.20686215084501</v>
      </c>
      <c r="F167" s="53">
        <v>29.237254131473399</v>
      </c>
      <c r="G167" s="53">
        <v>243.20686215084501</v>
      </c>
      <c r="H167" s="54" t="s">
        <v>185</v>
      </c>
      <c r="I167" s="55">
        <v>2.6800448899995799</v>
      </c>
      <c r="J167" s="55">
        <v>26.747321105303602</v>
      </c>
      <c r="K167" s="55">
        <v>7.4667367061880103</v>
      </c>
      <c r="L167" s="55">
        <v>19.090472535285802</v>
      </c>
      <c r="M167" s="55">
        <v>148.06329558733901</v>
      </c>
      <c r="N167" s="56">
        <v>7.4667367061880103</v>
      </c>
      <c r="O167" s="56">
        <f t="shared" si="9"/>
        <v>68.396261026527014</v>
      </c>
      <c r="P167" s="56">
        <f t="shared" si="8"/>
        <v>95.143566563505999</v>
      </c>
    </row>
    <row r="168" spans="1:16" x14ac:dyDescent="0.25">
      <c r="A168" s="37" t="s">
        <v>253</v>
      </c>
      <c r="B168" s="37" t="s">
        <v>254</v>
      </c>
      <c r="C168" s="53">
        <v>30.409203090869699</v>
      </c>
      <c r="D168" s="53">
        <v>28.699809993500701</v>
      </c>
      <c r="E168" s="53">
        <v>271.90667214434501</v>
      </c>
      <c r="F168" s="53">
        <v>30.409203090869699</v>
      </c>
      <c r="G168" s="53">
        <v>271.90667214434501</v>
      </c>
      <c r="H168" s="54" t="s">
        <v>185</v>
      </c>
      <c r="I168" s="55">
        <v>2.68002244499958</v>
      </c>
      <c r="J168" s="55">
        <v>29.228823369192099</v>
      </c>
      <c r="K168" s="55">
        <v>7.4667367061880103</v>
      </c>
      <c r="L168" s="55">
        <v>20.2624439396822</v>
      </c>
      <c r="M168" s="55">
        <v>167.36795821862901</v>
      </c>
      <c r="N168" s="56">
        <v>7.4667367061880103</v>
      </c>
      <c r="O168" s="56">
        <f t="shared" si="9"/>
        <v>75.309906124849221</v>
      </c>
      <c r="P168" s="56">
        <f t="shared" si="8"/>
        <v>104.538713925716</v>
      </c>
    </row>
    <row r="169" spans="1:16" x14ac:dyDescent="0.25">
      <c r="A169" s="37" t="s">
        <v>254</v>
      </c>
      <c r="B169" s="37" t="s">
        <v>255</v>
      </c>
      <c r="C169" s="53">
        <v>31.5823864950919</v>
      </c>
      <c r="D169" s="53">
        <v>29.7560322099704</v>
      </c>
      <c r="E169" s="53">
        <v>301.66270435431602</v>
      </c>
      <c r="F169" s="53">
        <v>31.5823864950919</v>
      </c>
      <c r="G169" s="53">
        <v>301.66270435431602</v>
      </c>
      <c r="H169" s="54" t="s">
        <v>185</v>
      </c>
      <c r="I169" s="55">
        <v>2.68002244499958</v>
      </c>
      <c r="J169" s="55">
        <v>31.7103256330806</v>
      </c>
      <c r="K169" s="55">
        <v>7.4667367061880103</v>
      </c>
      <c r="L169" s="55">
        <v>21.4356273439044</v>
      </c>
      <c r="M169" s="55">
        <v>187.728843066389</v>
      </c>
      <c r="N169" s="56">
        <v>7.4667367061880103</v>
      </c>
      <c r="O169" s="56">
        <f t="shared" si="9"/>
        <v>82.223551223171427</v>
      </c>
      <c r="P169" s="56">
        <f t="shared" si="8"/>
        <v>113.93386128792702</v>
      </c>
    </row>
    <row r="170" spans="1:16" x14ac:dyDescent="0.25">
      <c r="A170" s="37" t="s">
        <v>255</v>
      </c>
      <c r="B170" s="37" t="s">
        <v>256</v>
      </c>
      <c r="C170" s="53">
        <v>32.690643078444303</v>
      </c>
      <c r="D170" s="53">
        <v>30.815629072020599</v>
      </c>
      <c r="E170" s="53">
        <v>332.47833342633601</v>
      </c>
      <c r="F170" s="53">
        <v>32.690643078444303</v>
      </c>
      <c r="G170" s="53">
        <v>332.47833342633601</v>
      </c>
      <c r="H170" s="54" t="s">
        <v>185</v>
      </c>
      <c r="I170" s="55">
        <v>2.68002244499958</v>
      </c>
      <c r="J170" s="55">
        <v>34.191827896969102</v>
      </c>
      <c r="K170" s="55">
        <v>7.4667367061880103</v>
      </c>
      <c r="L170" s="55">
        <v>22.543883927256701</v>
      </c>
      <c r="M170" s="55">
        <v>209.14932477619899</v>
      </c>
      <c r="N170" s="56">
        <v>7.4667367061880103</v>
      </c>
      <c r="O170" s="56">
        <f t="shared" si="9"/>
        <v>89.137196321493633</v>
      </c>
      <c r="P170" s="56">
        <f t="shared" si="8"/>
        <v>123.32900865013701</v>
      </c>
    </row>
    <row r="171" spans="1:16" x14ac:dyDescent="0.25">
      <c r="A171" s="37" t="s">
        <v>256</v>
      </c>
      <c r="B171" s="37" t="s">
        <v>257</v>
      </c>
      <c r="C171" s="53">
        <v>33.871115717120503</v>
      </c>
      <c r="D171" s="53">
        <v>30.902501129184301</v>
      </c>
      <c r="E171" s="53">
        <v>363.38083455552101</v>
      </c>
      <c r="F171" s="53">
        <v>33.871115717120503</v>
      </c>
      <c r="G171" s="53">
        <v>363.38083455552101</v>
      </c>
      <c r="H171" s="54" t="s">
        <v>185</v>
      </c>
      <c r="I171" s="55">
        <v>2.68002244499958</v>
      </c>
      <c r="J171" s="55">
        <v>36.673319769653901</v>
      </c>
      <c r="K171" s="55">
        <v>7.4667367061880103</v>
      </c>
      <c r="L171" s="55">
        <v>23.724356565932901</v>
      </c>
      <c r="M171" s="55">
        <v>230.65668893437601</v>
      </c>
      <c r="N171" s="56">
        <v>7.4667367061880103</v>
      </c>
      <c r="O171" s="56">
        <f t="shared" si="9"/>
        <v>96.050841419815839</v>
      </c>
      <c r="P171" s="56">
        <f t="shared" si="8"/>
        <v>132.724145621145</v>
      </c>
    </row>
    <row r="172" spans="1:16" x14ac:dyDescent="0.25">
      <c r="A172" s="37" t="s">
        <v>257</v>
      </c>
      <c r="B172" s="37" t="s">
        <v>179</v>
      </c>
      <c r="C172" s="53">
        <v>32.878286721917704</v>
      </c>
      <c r="D172" s="53">
        <v>16.426201145423398</v>
      </c>
      <c r="E172" s="53">
        <v>379.80703570094403</v>
      </c>
      <c r="F172" s="53">
        <v>32.878286721917704</v>
      </c>
      <c r="G172" s="53">
        <v>379.80703570094403</v>
      </c>
      <c r="H172" s="54" t="s">
        <v>185</v>
      </c>
      <c r="I172" s="55">
        <v>2.6799999999995801</v>
      </c>
      <c r="J172" s="55">
        <v>38.1348634215178</v>
      </c>
      <c r="K172" s="55">
        <v>7.4667367061880103</v>
      </c>
      <c r="L172" s="55">
        <v>22.7315500157301</v>
      </c>
      <c r="M172" s="55">
        <v>241.54937992130101</v>
      </c>
      <c r="N172" s="56">
        <v>7.4667367061880103</v>
      </c>
      <c r="O172" s="56">
        <f>(O171+4.07196650663504)</f>
        <v>100.12280792645088</v>
      </c>
      <c r="P172" s="56">
        <f t="shared" si="8"/>
        <v>138.25765577964302</v>
      </c>
    </row>
    <row r="173" spans="1:16" x14ac:dyDescent="0.25">
      <c r="A173" s="37" t="s">
        <v>179</v>
      </c>
      <c r="B173" s="37" t="s">
        <v>180</v>
      </c>
      <c r="C173" s="53">
        <v>27.362935221292702</v>
      </c>
      <c r="D173" s="53">
        <v>4.3920630431757202</v>
      </c>
      <c r="E173" s="53">
        <v>384.19909874412002</v>
      </c>
      <c r="F173" s="53">
        <v>27.362935221292702</v>
      </c>
      <c r="G173" s="53">
        <v>384.19909874412002</v>
      </c>
      <c r="H173" s="54" t="s">
        <v>185</v>
      </c>
      <c r="I173" s="55">
        <v>2.6800448899995799</v>
      </c>
      <c r="J173" s="55">
        <v>38.538108318739901</v>
      </c>
      <c r="K173" s="55">
        <v>7.4667367061880103</v>
      </c>
      <c r="L173" s="55">
        <v>17.2161536251052</v>
      </c>
      <c r="M173" s="55">
        <v>244.846833557422</v>
      </c>
      <c r="N173" s="56">
        <v>7.4667367061880103</v>
      </c>
      <c r="O173" s="56">
        <f>(O172+0.691364509832215)</f>
        <v>100.81417243628309</v>
      </c>
      <c r="P173" s="56">
        <f t="shared" si="8"/>
        <v>139.35226518669802</v>
      </c>
    </row>
    <row r="174" spans="1:16" x14ac:dyDescent="0.25">
      <c r="A174" s="37" t="s">
        <v>180</v>
      </c>
      <c r="B174" s="37" t="s">
        <v>258</v>
      </c>
      <c r="C174" s="53">
        <v>67.505626511303902</v>
      </c>
      <c r="D174" s="53">
        <v>19.4406612960383</v>
      </c>
      <c r="E174" s="53">
        <v>403.63976004015802</v>
      </c>
      <c r="F174" s="53">
        <v>67.505626511303902</v>
      </c>
      <c r="G174" s="53">
        <v>403.63976004015802</v>
      </c>
      <c r="H174" s="54" t="s">
        <v>185</v>
      </c>
      <c r="I174" s="55">
        <v>6.0300448899990604</v>
      </c>
      <c r="J174" s="55">
        <v>40.274675570459998</v>
      </c>
      <c r="K174" s="55">
        <v>7.4667367061880103</v>
      </c>
      <c r="L174" s="55">
        <v>54.008844915116903</v>
      </c>
      <c r="M174" s="55">
        <v>260.40061351988498</v>
      </c>
      <c r="N174" s="56">
        <v>7.4667367061880103</v>
      </c>
      <c r="O174" s="56">
        <f>(O173+2.15031408185495)</f>
        <v>102.96448651813803</v>
      </c>
      <c r="P174" s="56">
        <f t="shared" si="8"/>
        <v>143.23914652027304</v>
      </c>
    </row>
    <row r="175" spans="1:16" x14ac:dyDescent="0.25">
      <c r="A175" s="37" t="s">
        <v>258</v>
      </c>
      <c r="B175" s="37" t="s">
        <v>268</v>
      </c>
      <c r="C175" s="53">
        <v>67.505626511303902</v>
      </c>
      <c r="D175" s="53">
        <v>3.0612142077294302</v>
      </c>
      <c r="E175" s="53">
        <v>406.70097424788702</v>
      </c>
      <c r="F175" s="53">
        <v>67.505626511303902</v>
      </c>
      <c r="G175" s="53">
        <v>406.70097424788702</v>
      </c>
      <c r="H175" s="54" t="s">
        <v>185</v>
      </c>
      <c r="I175" s="55">
        <v>6.0300448899990604</v>
      </c>
      <c r="J175" s="55">
        <v>40.548123282072901</v>
      </c>
      <c r="K175" s="55">
        <v>7.4667367061880103</v>
      </c>
      <c r="L175" s="55">
        <v>54.008844915116903</v>
      </c>
      <c r="M175" s="55">
        <v>262.84978186246099</v>
      </c>
      <c r="N175" s="56">
        <v>7.4667367061880103</v>
      </c>
      <c r="O175" s="56">
        <f>(O174+0.338598153541025)</f>
        <v>103.30308467167906</v>
      </c>
      <c r="P175" s="56">
        <f t="shared" si="8"/>
        <v>143.85119238542603</v>
      </c>
    </row>
    <row r="176" spans="1:16" x14ac:dyDescent="0.25">
      <c r="A176" s="37" t="s">
        <v>268</v>
      </c>
      <c r="B176" s="37" t="s">
        <v>185</v>
      </c>
      <c r="C176" s="53">
        <v>67.505626511303902</v>
      </c>
      <c r="D176" s="53">
        <v>0</v>
      </c>
      <c r="E176" s="53">
        <v>406.70097424788702</v>
      </c>
      <c r="F176" s="53">
        <v>67.505626511303902</v>
      </c>
      <c r="G176" s="53">
        <f>G175</f>
        <v>406.70097424788702</v>
      </c>
      <c r="H176" s="54" t="s">
        <v>185</v>
      </c>
      <c r="I176" s="55">
        <v>6.0300448899990604</v>
      </c>
      <c r="J176" s="55">
        <v>40.548123282072901</v>
      </c>
      <c r="K176" s="55">
        <v>7.4667367061880103</v>
      </c>
      <c r="L176" s="55">
        <v>54.008844915116903</v>
      </c>
      <c r="M176" s="55">
        <v>262.84978186246099</v>
      </c>
      <c r="N176" s="56">
        <v>7.4667367061880103</v>
      </c>
      <c r="O176" s="56">
        <f>O175</f>
        <v>103.30308467167906</v>
      </c>
      <c r="P176" s="56">
        <f t="shared" si="8"/>
        <v>143.85119238542603</v>
      </c>
    </row>
    <row r="179" spans="1:16" x14ac:dyDescent="0.25">
      <c r="A179" s="25" t="s">
        <v>182</v>
      </c>
      <c r="B179" s="27" t="s">
        <v>182</v>
      </c>
      <c r="C179" s="27" t="s">
        <v>182</v>
      </c>
      <c r="D179" s="27" t="s">
        <v>182</v>
      </c>
      <c r="E179" s="27" t="s">
        <v>182</v>
      </c>
      <c r="F179" s="27" t="s">
        <v>182</v>
      </c>
      <c r="G179" s="27" t="s">
        <v>182</v>
      </c>
      <c r="H179" s="27" t="s">
        <v>182</v>
      </c>
      <c r="I179" s="27" t="s">
        <v>182</v>
      </c>
      <c r="J179" s="27" t="s">
        <v>182</v>
      </c>
      <c r="K179" s="27" t="s">
        <v>182</v>
      </c>
      <c r="L179" s="27" t="s">
        <v>182</v>
      </c>
      <c r="M179" s="27" t="s">
        <v>182</v>
      </c>
      <c r="N179" s="27" t="s">
        <v>182</v>
      </c>
      <c r="O179" s="27" t="s">
        <v>182</v>
      </c>
      <c r="P179" s="26" t="s">
        <v>182</v>
      </c>
    </row>
    <row r="180" spans="1:16" x14ac:dyDescent="0.25">
      <c r="A180" s="11" t="s">
        <v>212</v>
      </c>
      <c r="B180" s="11" t="s">
        <v>213</v>
      </c>
      <c r="C180" s="9" t="s">
        <v>214</v>
      </c>
      <c r="D180" s="9" t="s">
        <v>215</v>
      </c>
      <c r="E180" s="9" t="s">
        <v>216</v>
      </c>
      <c r="F180" s="8" t="s">
        <v>20</v>
      </c>
      <c r="G180" s="26"/>
      <c r="H180" s="7" t="s">
        <v>19</v>
      </c>
      <c r="I180" s="27"/>
      <c r="J180" s="26"/>
      <c r="K180" s="7" t="s">
        <v>20</v>
      </c>
      <c r="L180" s="27"/>
      <c r="M180" s="26"/>
      <c r="N180" s="6" t="s">
        <v>217</v>
      </c>
      <c r="O180" s="26"/>
      <c r="P180" s="5" t="s">
        <v>218</v>
      </c>
    </row>
    <row r="181" spans="1:16" ht="30" x14ac:dyDescent="0.25">
      <c r="A181" s="10"/>
      <c r="B181" s="10"/>
      <c r="C181" s="10"/>
      <c r="D181" s="10"/>
      <c r="E181" s="10"/>
      <c r="F181" s="50" t="s">
        <v>219</v>
      </c>
      <c r="G181" s="50" t="s">
        <v>220</v>
      </c>
      <c r="H181" s="51" t="s">
        <v>221</v>
      </c>
      <c r="I181" s="51" t="s">
        <v>219</v>
      </c>
      <c r="J181" s="51" t="s">
        <v>220</v>
      </c>
      <c r="K181" s="51" t="s">
        <v>221</v>
      </c>
      <c r="L181" s="51" t="s">
        <v>219</v>
      </c>
      <c r="M181" s="51" t="s">
        <v>220</v>
      </c>
      <c r="N181" s="52" t="s">
        <v>219</v>
      </c>
      <c r="O181" s="52" t="s">
        <v>220</v>
      </c>
      <c r="P181" s="10"/>
    </row>
    <row r="182" spans="1:16" x14ac:dyDescent="0.25">
      <c r="A182" s="37" t="s">
        <v>269</v>
      </c>
      <c r="B182" s="37" t="s">
        <v>186</v>
      </c>
      <c r="C182" s="53">
        <v>0</v>
      </c>
      <c r="D182" s="53">
        <v>0</v>
      </c>
      <c r="E182" s="53">
        <v>0</v>
      </c>
      <c r="F182" s="57" t="s">
        <v>185</v>
      </c>
      <c r="G182" s="53">
        <v>0</v>
      </c>
      <c r="H182" s="54" t="s">
        <v>185</v>
      </c>
      <c r="I182" s="54" t="s">
        <v>185</v>
      </c>
      <c r="J182" s="55">
        <v>0</v>
      </c>
      <c r="K182" s="54" t="s">
        <v>185</v>
      </c>
      <c r="L182" s="54" t="s">
        <v>185</v>
      </c>
      <c r="M182" s="55">
        <v>0</v>
      </c>
      <c r="N182" s="56">
        <v>0</v>
      </c>
      <c r="O182" s="56">
        <v>0</v>
      </c>
      <c r="P182" s="56">
        <f t="shared" ref="P182:P203" si="10">(E182-M182)</f>
        <v>0</v>
      </c>
    </row>
    <row r="183" spans="1:16" x14ac:dyDescent="0.25">
      <c r="A183" s="37" t="s">
        <v>186</v>
      </c>
      <c r="B183" s="37" t="s">
        <v>187</v>
      </c>
      <c r="C183" s="53">
        <v>0</v>
      </c>
      <c r="D183" s="53">
        <v>0</v>
      </c>
      <c r="E183" s="53">
        <v>0</v>
      </c>
      <c r="F183" s="57" t="s">
        <v>185</v>
      </c>
      <c r="G183" s="53">
        <f t="shared" ref="G183:G188" si="11">G182</f>
        <v>0</v>
      </c>
      <c r="H183" s="54" t="s">
        <v>185</v>
      </c>
      <c r="I183" s="54" t="s">
        <v>185</v>
      </c>
      <c r="J183" s="55">
        <f t="shared" ref="J183:J188" si="12">J182</f>
        <v>0</v>
      </c>
      <c r="K183" s="54" t="s">
        <v>185</v>
      </c>
      <c r="L183" s="54" t="s">
        <v>185</v>
      </c>
      <c r="M183" s="55">
        <f t="shared" ref="M183:M188" si="13">M182</f>
        <v>0</v>
      </c>
      <c r="N183" s="56">
        <v>0</v>
      </c>
      <c r="O183" s="56">
        <f t="shared" ref="O183:O188" si="14">O182</f>
        <v>0</v>
      </c>
      <c r="P183" s="56">
        <f t="shared" si="10"/>
        <v>0</v>
      </c>
    </row>
    <row r="184" spans="1:16" x14ac:dyDescent="0.25">
      <c r="A184" s="37" t="s">
        <v>187</v>
      </c>
      <c r="B184" s="37" t="s">
        <v>262</v>
      </c>
      <c r="C184" s="53">
        <v>0</v>
      </c>
      <c r="D184" s="53">
        <v>0</v>
      </c>
      <c r="E184" s="53">
        <v>0</v>
      </c>
      <c r="F184" s="57" t="s">
        <v>185</v>
      </c>
      <c r="G184" s="53">
        <f t="shared" si="11"/>
        <v>0</v>
      </c>
      <c r="H184" s="54" t="s">
        <v>185</v>
      </c>
      <c r="I184" s="54" t="s">
        <v>185</v>
      </c>
      <c r="J184" s="55">
        <f t="shared" si="12"/>
        <v>0</v>
      </c>
      <c r="K184" s="54" t="s">
        <v>185</v>
      </c>
      <c r="L184" s="54" t="s">
        <v>185</v>
      </c>
      <c r="M184" s="55">
        <f t="shared" si="13"/>
        <v>0</v>
      </c>
      <c r="N184" s="56">
        <v>0</v>
      </c>
      <c r="O184" s="56">
        <f t="shared" si="14"/>
        <v>0</v>
      </c>
      <c r="P184" s="56">
        <f t="shared" si="10"/>
        <v>0</v>
      </c>
    </row>
    <row r="185" spans="1:16" x14ac:dyDescent="0.25">
      <c r="A185" s="37" t="s">
        <v>262</v>
      </c>
      <c r="B185" s="37" t="s">
        <v>263</v>
      </c>
      <c r="C185" s="53">
        <v>0</v>
      </c>
      <c r="D185" s="53">
        <v>0</v>
      </c>
      <c r="E185" s="53">
        <v>0</v>
      </c>
      <c r="F185" s="57" t="s">
        <v>185</v>
      </c>
      <c r="G185" s="53">
        <f t="shared" si="11"/>
        <v>0</v>
      </c>
      <c r="H185" s="54" t="s">
        <v>185</v>
      </c>
      <c r="I185" s="54" t="s">
        <v>185</v>
      </c>
      <c r="J185" s="55">
        <f t="shared" si="12"/>
        <v>0</v>
      </c>
      <c r="K185" s="54" t="s">
        <v>185</v>
      </c>
      <c r="L185" s="54" t="s">
        <v>185</v>
      </c>
      <c r="M185" s="55">
        <f t="shared" si="13"/>
        <v>0</v>
      </c>
      <c r="N185" s="56">
        <v>0</v>
      </c>
      <c r="O185" s="56">
        <f t="shared" si="14"/>
        <v>0</v>
      </c>
      <c r="P185" s="56">
        <f t="shared" si="10"/>
        <v>0</v>
      </c>
    </row>
    <row r="186" spans="1:16" x14ac:dyDescent="0.25">
      <c r="A186" s="37" t="s">
        <v>263</v>
      </c>
      <c r="B186" s="37" t="s">
        <v>270</v>
      </c>
      <c r="C186" s="53">
        <v>0</v>
      </c>
      <c r="D186" s="53">
        <v>0</v>
      </c>
      <c r="E186" s="53">
        <v>0</v>
      </c>
      <c r="F186" s="57" t="s">
        <v>185</v>
      </c>
      <c r="G186" s="53">
        <f t="shared" si="11"/>
        <v>0</v>
      </c>
      <c r="H186" s="54" t="s">
        <v>185</v>
      </c>
      <c r="I186" s="54" t="s">
        <v>185</v>
      </c>
      <c r="J186" s="55">
        <f t="shared" si="12"/>
        <v>0</v>
      </c>
      <c r="K186" s="54" t="s">
        <v>185</v>
      </c>
      <c r="L186" s="54" t="s">
        <v>185</v>
      </c>
      <c r="M186" s="55">
        <f t="shared" si="13"/>
        <v>0</v>
      </c>
      <c r="N186" s="56">
        <v>0</v>
      </c>
      <c r="O186" s="56">
        <f t="shared" si="14"/>
        <v>0</v>
      </c>
      <c r="P186" s="56">
        <f t="shared" si="10"/>
        <v>0</v>
      </c>
    </row>
    <row r="187" spans="1:16" x14ac:dyDescent="0.25">
      <c r="A187" s="37" t="s">
        <v>270</v>
      </c>
      <c r="B187" s="37" t="s">
        <v>271</v>
      </c>
      <c r="C187" s="53">
        <v>0</v>
      </c>
      <c r="D187" s="53">
        <v>0</v>
      </c>
      <c r="E187" s="53">
        <v>0</v>
      </c>
      <c r="F187" s="57" t="s">
        <v>185</v>
      </c>
      <c r="G187" s="53">
        <f t="shared" si="11"/>
        <v>0</v>
      </c>
      <c r="H187" s="54" t="s">
        <v>185</v>
      </c>
      <c r="I187" s="54" t="s">
        <v>185</v>
      </c>
      <c r="J187" s="55">
        <f t="shared" si="12"/>
        <v>0</v>
      </c>
      <c r="K187" s="54" t="s">
        <v>185</v>
      </c>
      <c r="L187" s="54" t="s">
        <v>185</v>
      </c>
      <c r="M187" s="55">
        <f t="shared" si="13"/>
        <v>0</v>
      </c>
      <c r="N187" s="56">
        <v>0</v>
      </c>
      <c r="O187" s="56">
        <f t="shared" si="14"/>
        <v>0</v>
      </c>
      <c r="P187" s="56">
        <f t="shared" si="10"/>
        <v>0</v>
      </c>
    </row>
    <row r="188" spans="1:16" x14ac:dyDescent="0.25">
      <c r="A188" s="37" t="s">
        <v>271</v>
      </c>
      <c r="B188" s="37" t="s">
        <v>191</v>
      </c>
      <c r="C188" s="53">
        <v>0</v>
      </c>
      <c r="D188" s="53">
        <v>0</v>
      </c>
      <c r="E188" s="53">
        <v>0</v>
      </c>
      <c r="F188" s="57" t="s">
        <v>185</v>
      </c>
      <c r="G188" s="53">
        <f t="shared" si="11"/>
        <v>0</v>
      </c>
      <c r="H188" s="54" t="s">
        <v>185</v>
      </c>
      <c r="I188" s="54" t="s">
        <v>185</v>
      </c>
      <c r="J188" s="55">
        <f t="shared" si="12"/>
        <v>0</v>
      </c>
      <c r="K188" s="54" t="s">
        <v>185</v>
      </c>
      <c r="L188" s="54" t="s">
        <v>185</v>
      </c>
      <c r="M188" s="55">
        <f t="shared" si="13"/>
        <v>0</v>
      </c>
      <c r="N188" s="56">
        <v>0</v>
      </c>
      <c r="O188" s="56">
        <f t="shared" si="14"/>
        <v>0</v>
      </c>
      <c r="P188" s="56">
        <f t="shared" si="10"/>
        <v>0</v>
      </c>
    </row>
    <row r="189" spans="1:16" x14ac:dyDescent="0.25">
      <c r="A189" s="37" t="s">
        <v>191</v>
      </c>
      <c r="B189" s="37" t="s">
        <v>192</v>
      </c>
      <c r="C189" s="53">
        <v>0</v>
      </c>
      <c r="D189" s="53">
        <v>5.2060964646192698</v>
      </c>
      <c r="E189" s="53">
        <v>5.2060964646192698</v>
      </c>
      <c r="F189" s="58" t="s">
        <v>185</v>
      </c>
      <c r="G189" s="53">
        <v>5.2060964646192698</v>
      </c>
      <c r="H189" s="54" t="s">
        <v>185</v>
      </c>
      <c r="I189" s="54" t="s">
        <v>185</v>
      </c>
      <c r="J189" s="55">
        <v>0.40846238375337901</v>
      </c>
      <c r="K189" s="54" t="s">
        <v>185</v>
      </c>
      <c r="L189" s="54" t="s">
        <v>185</v>
      </c>
      <c r="M189" s="55">
        <v>3.54789825372981</v>
      </c>
      <c r="N189" s="56">
        <v>0</v>
      </c>
      <c r="O189" s="56">
        <f>(O188+0.483954188972217)</f>
        <v>0.48395418897221698</v>
      </c>
      <c r="P189" s="56">
        <f t="shared" si="10"/>
        <v>1.6581982108894597</v>
      </c>
    </row>
    <row r="190" spans="1:16" x14ac:dyDescent="0.25">
      <c r="A190" s="37" t="s">
        <v>192</v>
      </c>
      <c r="B190" s="37" t="s">
        <v>195</v>
      </c>
      <c r="C190" s="53">
        <v>80.322791813999402</v>
      </c>
      <c r="D190" s="53">
        <v>30.922870746281902</v>
      </c>
      <c r="E190" s="53">
        <v>36.128967210901202</v>
      </c>
      <c r="F190" s="53">
        <v>80.322791813999402</v>
      </c>
      <c r="G190" s="53">
        <v>36.128967210901202</v>
      </c>
      <c r="H190" s="54" t="s">
        <v>185</v>
      </c>
      <c r="I190" s="55">
        <v>6.3020036676312197</v>
      </c>
      <c r="J190" s="55">
        <v>3.1935038568161001</v>
      </c>
      <c r="K190" s="55">
        <v>7.4667367061880103</v>
      </c>
      <c r="L190" s="55">
        <v>54.7391111071992</v>
      </c>
      <c r="M190" s="55">
        <v>26.7186270798408</v>
      </c>
      <c r="N190" s="56">
        <v>7.4667367061880103</v>
      </c>
      <c r="O190" s="56">
        <f>(O189+2.56035640537431)</f>
        <v>3.044310594346527</v>
      </c>
      <c r="P190" s="56">
        <f t="shared" si="10"/>
        <v>9.4103401310604013</v>
      </c>
    </row>
    <row r="191" spans="1:16" x14ac:dyDescent="0.25">
      <c r="A191" s="37" t="s">
        <v>195</v>
      </c>
      <c r="B191" s="37" t="s">
        <v>196</v>
      </c>
      <c r="C191" s="53">
        <v>71.480585053859599</v>
      </c>
      <c r="D191" s="53">
        <v>6.3356112097278103</v>
      </c>
      <c r="E191" s="53">
        <v>42.464578420629003</v>
      </c>
      <c r="F191" s="53">
        <v>71.480585053859599</v>
      </c>
      <c r="G191" s="53">
        <v>42.464578420629003</v>
      </c>
      <c r="H191" s="54" t="s">
        <v>185</v>
      </c>
      <c r="I191" s="55">
        <v>7.3700355099988499</v>
      </c>
      <c r="J191" s="55">
        <v>3.8448966540277598</v>
      </c>
      <c r="K191" s="55">
        <v>5.1023016444252001</v>
      </c>
      <c r="L191" s="55">
        <v>59.008247899435503</v>
      </c>
      <c r="M191" s="55">
        <v>31.5881872285815</v>
      </c>
      <c r="N191" s="56">
        <v>5.1023016444252001</v>
      </c>
      <c r="O191" s="56">
        <f>(O190+0.814658263775471)</f>
        <v>3.8589688581219979</v>
      </c>
      <c r="P191" s="56">
        <f t="shared" si="10"/>
        <v>10.876391192047503</v>
      </c>
    </row>
    <row r="192" spans="1:16" x14ac:dyDescent="0.25">
      <c r="A192" s="37" t="s">
        <v>196</v>
      </c>
      <c r="B192" s="37" t="s">
        <v>272</v>
      </c>
      <c r="C192" s="53">
        <v>26.269040538340001</v>
      </c>
      <c r="D192" s="53">
        <v>3.1342868183926198</v>
      </c>
      <c r="E192" s="53">
        <v>45.598865239021599</v>
      </c>
      <c r="F192" s="53">
        <v>26.269040538340001</v>
      </c>
      <c r="G192" s="53">
        <v>45.598865239021599</v>
      </c>
      <c r="H192" s="54" t="s">
        <v>185</v>
      </c>
      <c r="I192" s="55">
        <v>2.6800448899995799</v>
      </c>
      <c r="J192" s="55">
        <v>4.1466313737045599</v>
      </c>
      <c r="K192" s="55">
        <v>7.4667367061880103</v>
      </c>
      <c r="L192" s="55">
        <v>16.122258942152499</v>
      </c>
      <c r="M192" s="55">
        <v>33.580091577198502</v>
      </c>
      <c r="N192" s="56">
        <v>7.4667367061880103</v>
      </c>
      <c r="O192" s="56">
        <f>(O191+0.840647750098856)</f>
        <v>4.6996166082208539</v>
      </c>
      <c r="P192" s="56">
        <f t="shared" si="10"/>
        <v>12.018773661823097</v>
      </c>
    </row>
    <row r="193" spans="1:16" x14ac:dyDescent="0.25">
      <c r="A193" s="37" t="s">
        <v>272</v>
      </c>
      <c r="B193" s="37" t="s">
        <v>198</v>
      </c>
      <c r="C193" s="53">
        <v>29.409201464594901</v>
      </c>
      <c r="D193" s="53">
        <v>12.646927693034201</v>
      </c>
      <c r="E193" s="53">
        <v>58.245792932055799</v>
      </c>
      <c r="F193" s="53">
        <v>29.409201464594901</v>
      </c>
      <c r="G193" s="53">
        <v>58.245792932055799</v>
      </c>
      <c r="H193" s="54" t="s">
        <v>185</v>
      </c>
      <c r="I193" s="55">
        <v>2.6800448899995799</v>
      </c>
      <c r="J193" s="55">
        <v>5.2333231913256304</v>
      </c>
      <c r="K193" s="55">
        <v>7.4667367061880103</v>
      </c>
      <c r="L193" s="55">
        <v>19.262419868407299</v>
      </c>
      <c r="M193" s="55">
        <v>42.112725315142697</v>
      </c>
      <c r="N193" s="56">
        <v>7.4667367061880103</v>
      </c>
      <c r="O193" s="56">
        <f>(O192+3.02760213746891)</f>
        <v>7.7272187456897639</v>
      </c>
      <c r="P193" s="56">
        <f t="shared" si="10"/>
        <v>16.133067616913102</v>
      </c>
    </row>
    <row r="194" spans="1:16" x14ac:dyDescent="0.25">
      <c r="A194" s="37" t="s">
        <v>198</v>
      </c>
      <c r="B194" s="37" t="s">
        <v>199</v>
      </c>
      <c r="C194" s="53">
        <v>32.971042000967699</v>
      </c>
      <c r="D194" s="53">
        <v>8.1614705422020695</v>
      </c>
      <c r="E194" s="53">
        <v>66.407263474257903</v>
      </c>
      <c r="F194" s="53">
        <v>32.971042000967699</v>
      </c>
      <c r="G194" s="53">
        <v>66.407263474257903</v>
      </c>
      <c r="H194" s="54" t="s">
        <v>185</v>
      </c>
      <c r="I194" s="55">
        <v>2.6799999999995801</v>
      </c>
      <c r="J194" s="55">
        <v>5.8847101694748503</v>
      </c>
      <c r="K194" s="55">
        <v>7.4667367061880103</v>
      </c>
      <c r="L194" s="55">
        <v>22.8243052947801</v>
      </c>
      <c r="M194" s="55">
        <v>48.654900501251099</v>
      </c>
      <c r="N194" s="56">
        <v>7.4667367061880103</v>
      </c>
      <c r="O194" s="56">
        <f>(O193+0.967908377944433)</f>
        <v>8.6951271236341974</v>
      </c>
      <c r="P194" s="56">
        <f t="shared" si="10"/>
        <v>17.752362973006804</v>
      </c>
    </row>
    <row r="195" spans="1:16" x14ac:dyDescent="0.25">
      <c r="A195" s="37" t="s">
        <v>199</v>
      </c>
      <c r="B195" s="37" t="s">
        <v>273</v>
      </c>
      <c r="C195" s="53">
        <v>92.949041061751203</v>
      </c>
      <c r="D195" s="53">
        <v>35.793579364127297</v>
      </c>
      <c r="E195" s="53">
        <v>102.200842838385</v>
      </c>
      <c r="F195" s="53">
        <v>92.949041061751203</v>
      </c>
      <c r="G195" s="53">
        <v>102.200842838385</v>
      </c>
      <c r="H195" s="54" t="s">
        <v>185</v>
      </c>
      <c r="I195" s="55">
        <v>7.3699906199988501</v>
      </c>
      <c r="J195" s="55">
        <v>8.7650346472496707</v>
      </c>
      <c r="K195" s="55">
        <v>7.4667367061880103</v>
      </c>
      <c r="L195" s="55">
        <v>78.112313735564399</v>
      </c>
      <c r="M195" s="55">
        <v>78.650020804694606</v>
      </c>
      <c r="N195" s="56">
        <v>7.4667367061880103</v>
      </c>
      <c r="O195" s="56">
        <f>(O194+2.91813458290892)</f>
        <v>11.613261706543117</v>
      </c>
      <c r="P195" s="56">
        <f t="shared" si="10"/>
        <v>23.550822033690395</v>
      </c>
    </row>
    <row r="196" spans="1:16" x14ac:dyDescent="0.25">
      <c r="A196" s="37" t="s">
        <v>273</v>
      </c>
      <c r="B196" s="37" t="s">
        <v>201</v>
      </c>
      <c r="C196" s="53">
        <v>90.223616189420397</v>
      </c>
      <c r="D196" s="53">
        <v>1.4959542910749799</v>
      </c>
      <c r="E196" s="53">
        <v>103.69679712945999</v>
      </c>
      <c r="F196" s="53">
        <v>90.223616189420397</v>
      </c>
      <c r="G196" s="53">
        <v>103.69679712945999</v>
      </c>
      <c r="H196" s="54" t="s">
        <v>185</v>
      </c>
      <c r="I196" s="55">
        <v>7.3699906199988501</v>
      </c>
      <c r="J196" s="55">
        <v>8.8872951191089697</v>
      </c>
      <c r="K196" s="55">
        <v>7.4667367061880103</v>
      </c>
      <c r="L196" s="55">
        <v>75.386888863233494</v>
      </c>
      <c r="M196" s="55">
        <v>79.899849235198602</v>
      </c>
      <c r="N196" s="56">
        <v>7.4667367061880103</v>
      </c>
      <c r="O196" s="56">
        <f>(O195+0.123865388711701)</f>
        <v>11.737127095254818</v>
      </c>
      <c r="P196" s="56">
        <f t="shared" si="10"/>
        <v>23.796947894261393</v>
      </c>
    </row>
    <row r="197" spans="1:16" x14ac:dyDescent="0.25">
      <c r="A197" s="37" t="s">
        <v>201</v>
      </c>
      <c r="B197" s="37" t="s">
        <v>202</v>
      </c>
      <c r="C197" s="53">
        <v>90.131799187302605</v>
      </c>
      <c r="D197" s="53">
        <v>7.4580558875207297</v>
      </c>
      <c r="E197" s="53">
        <v>111.15485301698099</v>
      </c>
      <c r="F197" s="53">
        <v>90.131799187302605</v>
      </c>
      <c r="G197" s="53">
        <v>111.15485301698099</v>
      </c>
      <c r="H197" s="54" t="s">
        <v>185</v>
      </c>
      <c r="I197" s="55">
        <v>7.3699906199988501</v>
      </c>
      <c r="J197" s="55">
        <v>9.5386850067894198</v>
      </c>
      <c r="K197" s="55">
        <v>7.4667367061880103</v>
      </c>
      <c r="L197" s="55">
        <v>75.295071861115701</v>
      </c>
      <c r="M197" s="55">
        <v>85.738606857094496</v>
      </c>
      <c r="N197" s="56">
        <v>7.4667367061880103</v>
      </c>
      <c r="O197" s="56">
        <f>(O196+0.967908377944433)</f>
        <v>12.705035473199251</v>
      </c>
      <c r="P197" s="56">
        <f t="shared" si="10"/>
        <v>25.416246159886498</v>
      </c>
    </row>
    <row r="198" spans="1:16" x14ac:dyDescent="0.25">
      <c r="A198" s="37" t="s">
        <v>202</v>
      </c>
      <c r="B198" s="37" t="s">
        <v>274</v>
      </c>
      <c r="C198" s="53">
        <v>24.9355789263509</v>
      </c>
      <c r="D198" s="53">
        <v>18.2979396162645</v>
      </c>
      <c r="E198" s="53">
        <v>129.452792633245</v>
      </c>
      <c r="F198" s="53">
        <v>24.9355789263509</v>
      </c>
      <c r="G198" s="53">
        <v>129.452792633245</v>
      </c>
      <c r="H198" s="54" t="s">
        <v>185</v>
      </c>
      <c r="I198" s="55">
        <v>2.6800448899995799</v>
      </c>
      <c r="J198" s="55">
        <v>11.6283363667652</v>
      </c>
      <c r="K198" s="55">
        <v>7.4667367061880103</v>
      </c>
      <c r="L198" s="55">
        <v>14.7887973301633</v>
      </c>
      <c r="M198" s="55">
        <v>96.125023781717104</v>
      </c>
      <c r="N198" s="56">
        <v>7.4667367061880103</v>
      </c>
      <c r="O198" s="56">
        <f>(O197+5.82187133166612)</f>
        <v>18.526906804865369</v>
      </c>
      <c r="P198" s="56">
        <f t="shared" si="10"/>
        <v>33.327768851527892</v>
      </c>
    </row>
    <row r="199" spans="1:16" x14ac:dyDescent="0.25">
      <c r="A199" s="37" t="s">
        <v>274</v>
      </c>
      <c r="B199" s="37" t="s">
        <v>205</v>
      </c>
      <c r="C199" s="53">
        <v>21.9998099192401</v>
      </c>
      <c r="D199" s="53">
        <v>8.0936823593811393</v>
      </c>
      <c r="E199" s="53">
        <v>137.546474992627</v>
      </c>
      <c r="F199" s="53">
        <v>21.9998099192401</v>
      </c>
      <c r="G199" s="53">
        <v>137.546474992627</v>
      </c>
      <c r="H199" s="54" t="s">
        <v>185</v>
      </c>
      <c r="I199" s="55">
        <v>2.6800448899995799</v>
      </c>
      <c r="J199" s="55">
        <v>13.045387301028001</v>
      </c>
      <c r="K199" s="55">
        <v>7.4667367061880103</v>
      </c>
      <c r="L199" s="55">
        <v>11.8530283230525</v>
      </c>
      <c r="M199" s="55">
        <v>99.925402435384896</v>
      </c>
      <c r="N199" s="56">
        <v>7.4667367061880103</v>
      </c>
      <c r="O199" s="56">
        <f>(O198+2.87625277145052)</f>
        <v>21.40315957631589</v>
      </c>
      <c r="P199" s="56">
        <f t="shared" si="10"/>
        <v>37.621072557242101</v>
      </c>
    </row>
    <row r="200" spans="1:16" x14ac:dyDescent="0.25">
      <c r="A200" s="37" t="s">
        <v>205</v>
      </c>
      <c r="B200" s="37" t="s">
        <v>206</v>
      </c>
      <c r="C200" s="53">
        <v>8.6150840469013108</v>
      </c>
      <c r="D200" s="53">
        <v>3.2023547361358302</v>
      </c>
      <c r="E200" s="53">
        <v>140.74882972876199</v>
      </c>
      <c r="F200" s="53">
        <v>8.6150840469013108</v>
      </c>
      <c r="G200" s="53">
        <v>140.74882972876199</v>
      </c>
      <c r="H200" s="54" t="s">
        <v>185</v>
      </c>
      <c r="I200" s="55">
        <v>2.6800448899995799</v>
      </c>
      <c r="J200" s="55">
        <v>14.0490133708911</v>
      </c>
      <c r="K200" s="55">
        <v>3.4128814586779299</v>
      </c>
      <c r="L200" s="55">
        <v>2.5221576982238001</v>
      </c>
      <c r="M200" s="55">
        <v>101.727509887426</v>
      </c>
      <c r="N200" s="56">
        <v>3.4128814586779299</v>
      </c>
      <c r="O200" s="56">
        <f>(O199+0.396621214231928)</f>
        <v>21.799780790547818</v>
      </c>
      <c r="P200" s="56">
        <f t="shared" si="10"/>
        <v>39.021319841335995</v>
      </c>
    </row>
    <row r="201" spans="1:16" x14ac:dyDescent="0.25">
      <c r="A201" s="37" t="s">
        <v>206</v>
      </c>
      <c r="B201" s="37" t="s">
        <v>275</v>
      </c>
      <c r="C201" s="53">
        <v>28.440809154455799</v>
      </c>
      <c r="D201" s="53">
        <v>6.3610733053555899</v>
      </c>
      <c r="E201" s="53">
        <v>147.10990303411799</v>
      </c>
      <c r="F201" s="53">
        <v>28.440809154455799</v>
      </c>
      <c r="G201" s="53">
        <v>147.10990303411799</v>
      </c>
      <c r="H201" s="54" t="s">
        <v>185</v>
      </c>
      <c r="I201" s="55">
        <v>8.9333657166652696</v>
      </c>
      <c r="J201" s="55">
        <v>16.053171743606999</v>
      </c>
      <c r="K201" s="55">
        <v>1.17660177068643</v>
      </c>
      <c r="L201" s="55">
        <v>18.330841667104099</v>
      </c>
      <c r="M201" s="55">
        <v>105.820459774318</v>
      </c>
      <c r="N201" s="56">
        <v>1.17660177068643</v>
      </c>
      <c r="O201" s="56">
        <f>(O200+0.263965045746931)</f>
        <v>22.06374583629475</v>
      </c>
      <c r="P201" s="56">
        <f t="shared" si="10"/>
        <v>41.289443259799995</v>
      </c>
    </row>
    <row r="202" spans="1:16" x14ac:dyDescent="0.25">
      <c r="A202" s="37" t="s">
        <v>275</v>
      </c>
      <c r="B202" s="37" t="s">
        <v>276</v>
      </c>
      <c r="C202" s="53">
        <v>28.267078765849</v>
      </c>
      <c r="D202" s="53">
        <v>7.6174461901190798</v>
      </c>
      <c r="E202" s="53">
        <v>154.727349224237</v>
      </c>
      <c r="F202" s="53">
        <v>28.267078765849</v>
      </c>
      <c r="G202" s="53">
        <v>154.727349224237</v>
      </c>
      <c r="H202" s="54" t="s">
        <v>185</v>
      </c>
      <c r="I202" s="55">
        <v>8.9333657166652696</v>
      </c>
      <c r="J202" s="55">
        <v>18.4605458202508</v>
      </c>
      <c r="K202" s="55">
        <v>1.17660177068643</v>
      </c>
      <c r="L202" s="55">
        <v>18.1571112784973</v>
      </c>
      <c r="M202" s="55">
        <v>110.713459835544</v>
      </c>
      <c r="N202" s="56">
        <v>1.17660177068643</v>
      </c>
      <c r="O202" s="56">
        <f>(O201+0.31707205225009)</f>
        <v>22.38081788854484</v>
      </c>
      <c r="P202" s="56">
        <f t="shared" si="10"/>
        <v>44.013889388693002</v>
      </c>
    </row>
    <row r="203" spans="1:16" x14ac:dyDescent="0.25">
      <c r="A203" s="37" t="s">
        <v>276</v>
      </c>
      <c r="B203" s="37" t="s">
        <v>185</v>
      </c>
      <c r="C203" s="53">
        <v>28.267078765849</v>
      </c>
      <c r="D203" s="53">
        <v>0</v>
      </c>
      <c r="E203" s="53">
        <v>154.727349224237</v>
      </c>
      <c r="F203" s="53">
        <v>28.267078765849</v>
      </c>
      <c r="G203" s="53">
        <f>G202</f>
        <v>154.727349224237</v>
      </c>
      <c r="H203" s="54" t="s">
        <v>185</v>
      </c>
      <c r="I203" s="55">
        <v>8.9333657166652696</v>
      </c>
      <c r="J203" s="55">
        <v>18.4605458202508</v>
      </c>
      <c r="K203" s="55">
        <v>1.17660177068643</v>
      </c>
      <c r="L203" s="55">
        <v>18.1571112784973</v>
      </c>
      <c r="M203" s="55">
        <v>110.713459835544</v>
      </c>
      <c r="N203" s="56">
        <v>1.17660177068643</v>
      </c>
      <c r="O203" s="56">
        <f>O202</f>
        <v>22.38081788854484</v>
      </c>
      <c r="P203" s="56">
        <f t="shared" si="10"/>
        <v>44.013889388693002</v>
      </c>
    </row>
    <row r="206" spans="1:16" x14ac:dyDescent="0.25">
      <c r="A206" s="4" t="s">
        <v>277</v>
      </c>
      <c r="B206" s="23" t="s">
        <v>277</v>
      </c>
      <c r="C206" s="59"/>
      <c r="D206" s="60">
        <f>SUM(D6:D203)</f>
        <v>1711.6511948163168</v>
      </c>
      <c r="E206" s="61">
        <f>(E12+E24+E35+E46+E101+E145+E176+E203)</f>
        <v>1711.6511948163172</v>
      </c>
      <c r="F206" s="62"/>
      <c r="G206" s="63">
        <f>(G12+G24+G35+G46+G101+G145+G176+G203)</f>
        <v>1711.6511948163172</v>
      </c>
      <c r="H206" s="64"/>
      <c r="I206" s="64"/>
      <c r="J206" s="65">
        <f>(J12+J24+J35+J46+J101+J145+J176+J203)</f>
        <v>197.31794069443339</v>
      </c>
      <c r="K206" s="64"/>
      <c r="L206" s="64"/>
      <c r="M206" s="65">
        <f>(M12+M24+M35+M46+M101+M145+M176+M203)</f>
        <v>1259.7982367064583</v>
      </c>
      <c r="N206" s="66"/>
      <c r="O206" s="67">
        <f>(O12+O24+O35+O46+O101+O145+O176+O203)</f>
        <v>251.36250627664484</v>
      </c>
      <c r="P206" s="67">
        <f>(P12+P24+P35+P46+P101+P145+P176+P203)</f>
        <v>451.85295810985883</v>
      </c>
    </row>
  </sheetData>
  <mergeCells count="91">
    <mergeCell ref="A206:B206"/>
    <mergeCell ref="A179:P179"/>
    <mergeCell ref="A180:A181"/>
    <mergeCell ref="B180:B181"/>
    <mergeCell ref="C180:C181"/>
    <mergeCell ref="D180:D181"/>
    <mergeCell ref="E180:E181"/>
    <mergeCell ref="F180:G180"/>
    <mergeCell ref="H180:J180"/>
    <mergeCell ref="K180:M180"/>
    <mergeCell ref="N180:O180"/>
    <mergeCell ref="P180:P181"/>
    <mergeCell ref="A148:P148"/>
    <mergeCell ref="A149:A150"/>
    <mergeCell ref="B149:B150"/>
    <mergeCell ref="C149:C150"/>
    <mergeCell ref="D149:D150"/>
    <mergeCell ref="E149:E150"/>
    <mergeCell ref="F149:G149"/>
    <mergeCell ref="H149:J149"/>
    <mergeCell ref="K149:M149"/>
    <mergeCell ref="N149:O149"/>
    <mergeCell ref="P149:P150"/>
    <mergeCell ref="A104:P104"/>
    <mergeCell ref="A105:A106"/>
    <mergeCell ref="B105:B106"/>
    <mergeCell ref="C105:C106"/>
    <mergeCell ref="D105:D106"/>
    <mergeCell ref="E105:E106"/>
    <mergeCell ref="F105:G105"/>
    <mergeCell ref="H105:J105"/>
    <mergeCell ref="K105:M105"/>
    <mergeCell ref="N105:O105"/>
    <mergeCell ref="P105:P106"/>
    <mergeCell ref="A49:P49"/>
    <mergeCell ref="A50:A51"/>
    <mergeCell ref="B50:B51"/>
    <mergeCell ref="C50:C51"/>
    <mergeCell ref="D50:D51"/>
    <mergeCell ref="E50:E51"/>
    <mergeCell ref="F50:G50"/>
    <mergeCell ref="H50:J50"/>
    <mergeCell ref="K50:M50"/>
    <mergeCell ref="N50:O50"/>
    <mergeCell ref="P50:P51"/>
    <mergeCell ref="A38:P38"/>
    <mergeCell ref="A39:A40"/>
    <mergeCell ref="B39:B40"/>
    <mergeCell ref="C39:C40"/>
    <mergeCell ref="D39:D40"/>
    <mergeCell ref="E39:E40"/>
    <mergeCell ref="F39:G39"/>
    <mergeCell ref="H39:J39"/>
    <mergeCell ref="K39:M39"/>
    <mergeCell ref="N39:O39"/>
    <mergeCell ref="P39:P40"/>
    <mergeCell ref="A27:P27"/>
    <mergeCell ref="A28:A29"/>
    <mergeCell ref="B28:B29"/>
    <mergeCell ref="C28:C29"/>
    <mergeCell ref="D28:D29"/>
    <mergeCell ref="E28:E29"/>
    <mergeCell ref="F28:G28"/>
    <mergeCell ref="H28:J28"/>
    <mergeCell ref="K28:M28"/>
    <mergeCell ref="N28:O28"/>
    <mergeCell ref="P28:P29"/>
    <mergeCell ref="A15:P15"/>
    <mergeCell ref="A16:A17"/>
    <mergeCell ref="B16:B17"/>
    <mergeCell ref="C16:C17"/>
    <mergeCell ref="D16:D17"/>
    <mergeCell ref="E16:E17"/>
    <mergeCell ref="F16:G16"/>
    <mergeCell ref="H16:J16"/>
    <mergeCell ref="K16:M16"/>
    <mergeCell ref="N16:O16"/>
    <mergeCell ref="P16:P17"/>
    <mergeCell ref="A1:P1"/>
    <mergeCell ref="A2:P2"/>
    <mergeCell ref="A3:P3"/>
    <mergeCell ref="A4:A5"/>
    <mergeCell ref="B4:B5"/>
    <mergeCell ref="C4:C5"/>
    <mergeCell ref="D4:D5"/>
    <mergeCell ref="E4:E5"/>
    <mergeCell ref="F4:G4"/>
    <mergeCell ref="H4:J4"/>
    <mergeCell ref="K4:M4"/>
    <mergeCell ref="N4:O4"/>
    <mergeCell ref="P4:P5"/>
  </mergeCells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sqref="A1:D1"/>
    </sheetView>
  </sheetViews>
  <sheetFormatPr defaultRowHeight="15" x14ac:dyDescent="0.25"/>
  <cols>
    <col min="1" max="1" width="17.7109375" customWidth="1"/>
    <col min="2" max="2" width="40.7109375" customWidth="1"/>
    <col min="3" max="3" width="7" customWidth="1"/>
    <col min="4" max="4" width="18.42578125" customWidth="1"/>
  </cols>
  <sheetData>
    <row r="1" spans="1:4" x14ac:dyDescent="0.25">
      <c r="A1" s="28" t="s">
        <v>278</v>
      </c>
      <c r="B1" s="27" t="s">
        <v>278</v>
      </c>
      <c r="C1" s="27" t="s">
        <v>278</v>
      </c>
      <c r="D1" s="26" t="s">
        <v>278</v>
      </c>
    </row>
    <row r="2" spans="1:4" x14ac:dyDescent="0.25">
      <c r="A2" s="25" t="s">
        <v>1</v>
      </c>
      <c r="B2" s="27" t="s">
        <v>1</v>
      </c>
      <c r="C2" s="27" t="s">
        <v>1</v>
      </c>
      <c r="D2" s="26" t="s">
        <v>1</v>
      </c>
    </row>
    <row r="3" spans="1:4" x14ac:dyDescent="0.25">
      <c r="A3" s="30" t="s">
        <v>279</v>
      </c>
      <c r="B3" s="30" t="s">
        <v>4</v>
      </c>
      <c r="C3" s="30" t="s">
        <v>280</v>
      </c>
      <c r="D3" s="30" t="s">
        <v>281</v>
      </c>
    </row>
    <row r="4" spans="1:4" x14ac:dyDescent="0.25">
      <c r="A4" s="31" t="s">
        <v>282</v>
      </c>
      <c r="B4" s="31" t="s">
        <v>283</v>
      </c>
      <c r="C4" s="68">
        <v>2</v>
      </c>
      <c r="D4" s="49" t="s">
        <v>185</v>
      </c>
    </row>
    <row r="5" spans="1:4" x14ac:dyDescent="0.25">
      <c r="A5" s="31" t="s">
        <v>284</v>
      </c>
      <c r="B5" s="31" t="s">
        <v>285</v>
      </c>
      <c r="C5" s="68">
        <v>1</v>
      </c>
      <c r="D5" s="32">
        <v>4.90999999999958</v>
      </c>
    </row>
    <row r="6" spans="1:4" x14ac:dyDescent="0.25">
      <c r="A6" s="31" t="s">
        <v>284</v>
      </c>
      <c r="B6" s="31" t="s">
        <v>286</v>
      </c>
      <c r="C6" s="68">
        <v>2</v>
      </c>
      <c r="D6" s="32">
        <v>8.2399999999996396</v>
      </c>
    </row>
    <row r="7" spans="1:4" x14ac:dyDescent="0.25">
      <c r="A7" s="31" t="s">
        <v>284</v>
      </c>
      <c r="B7" s="31" t="s">
        <v>287</v>
      </c>
      <c r="C7" s="68">
        <v>1</v>
      </c>
      <c r="D7" s="32">
        <v>5.9300000000004802</v>
      </c>
    </row>
    <row r="8" spans="1:4" x14ac:dyDescent="0.25">
      <c r="A8" s="31" t="s">
        <v>284</v>
      </c>
      <c r="B8" s="31" t="s">
        <v>288</v>
      </c>
      <c r="C8" s="68">
        <v>3</v>
      </c>
      <c r="D8" s="32">
        <v>5.1660000000006301</v>
      </c>
    </row>
    <row r="9" spans="1:4" x14ac:dyDescent="0.25">
      <c r="A9" s="31" t="s">
        <v>284</v>
      </c>
      <c r="B9" s="31" t="s">
        <v>289</v>
      </c>
      <c r="C9" s="68">
        <v>1</v>
      </c>
      <c r="D9" s="32">
        <v>2.9999999999999698</v>
      </c>
    </row>
    <row r="10" spans="1:4" x14ac:dyDescent="0.25">
      <c r="A10" s="31" t="s">
        <v>284</v>
      </c>
      <c r="B10" s="31" t="s">
        <v>290</v>
      </c>
      <c r="C10" s="68">
        <v>1</v>
      </c>
      <c r="D10" s="32">
        <v>3.0829999999999398</v>
      </c>
    </row>
    <row r="11" spans="1:4" x14ac:dyDescent="0.25">
      <c r="A11" s="31" t="s">
        <v>284</v>
      </c>
      <c r="B11" s="31" t="s">
        <v>291</v>
      </c>
      <c r="C11" s="68">
        <v>2</v>
      </c>
      <c r="D11" s="32">
        <v>5.5699999999997702</v>
      </c>
    </row>
    <row r="12" spans="1:4" x14ac:dyDescent="0.25">
      <c r="A12" s="31" t="s">
        <v>284</v>
      </c>
      <c r="B12" s="31" t="s">
        <v>292</v>
      </c>
      <c r="C12" s="68">
        <v>2</v>
      </c>
      <c r="D12" s="32">
        <v>7.2399999999996503</v>
      </c>
    </row>
    <row r="13" spans="1:4" x14ac:dyDescent="0.25">
      <c r="A13" s="31" t="s">
        <v>284</v>
      </c>
      <c r="B13" s="31" t="s">
        <v>293</v>
      </c>
      <c r="C13" s="68">
        <v>1</v>
      </c>
      <c r="D13" s="32">
        <v>2.9999999999999698</v>
      </c>
    </row>
    <row r="14" spans="1:4" x14ac:dyDescent="0.25">
      <c r="A14" s="31" t="s">
        <v>294</v>
      </c>
      <c r="B14" s="31" t="s">
        <v>295</v>
      </c>
      <c r="C14" s="68">
        <v>3</v>
      </c>
      <c r="D14" s="32">
        <v>15.2099999999989</v>
      </c>
    </row>
    <row r="15" spans="1:4" x14ac:dyDescent="0.25">
      <c r="A15" s="31" t="s">
        <v>294</v>
      </c>
      <c r="B15" s="31" t="s">
        <v>296</v>
      </c>
      <c r="C15" s="68">
        <v>3</v>
      </c>
      <c r="D15" s="32">
        <v>15.6800000000002</v>
      </c>
    </row>
  </sheetData>
  <mergeCells count="2">
    <mergeCell ref="A1:D1"/>
    <mergeCell ref="A2:D2"/>
  </mergeCells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11" workbookViewId="0">
      <selection sqref="A1:K1"/>
    </sheetView>
  </sheetViews>
  <sheetFormatPr defaultRowHeight="15" x14ac:dyDescent="0.25"/>
  <cols>
    <col min="1" max="1" width="31.85546875" customWidth="1"/>
    <col min="2" max="2" width="9.7109375" customWidth="1"/>
    <col min="3" max="3" width="27.28515625" customWidth="1"/>
    <col min="4" max="4" width="46.140625" customWidth="1"/>
    <col min="5" max="5" width="10.140625" customWidth="1"/>
    <col min="6" max="6" width="22.7109375" customWidth="1"/>
    <col min="7" max="7" width="17.7109375" customWidth="1"/>
    <col min="8" max="8" width="15.28515625" customWidth="1"/>
    <col min="9" max="9" width="13.42578125" customWidth="1"/>
    <col min="10" max="10" width="13.7109375" customWidth="1"/>
    <col min="11" max="11" width="13" customWidth="1"/>
  </cols>
  <sheetData>
    <row r="1" spans="1:11" x14ac:dyDescent="0.25">
      <c r="A1" s="28" t="s">
        <v>297</v>
      </c>
      <c r="B1" s="27" t="s">
        <v>297</v>
      </c>
      <c r="C1" s="27" t="s">
        <v>297</v>
      </c>
      <c r="D1" s="27" t="s">
        <v>297</v>
      </c>
      <c r="E1" s="27" t="s">
        <v>297</v>
      </c>
      <c r="F1" s="27" t="s">
        <v>297</v>
      </c>
      <c r="G1" s="27" t="s">
        <v>297</v>
      </c>
      <c r="H1" s="27" t="s">
        <v>297</v>
      </c>
      <c r="I1" s="27" t="s">
        <v>297</v>
      </c>
      <c r="J1" s="27" t="s">
        <v>297</v>
      </c>
      <c r="K1" s="26" t="s">
        <v>297</v>
      </c>
    </row>
    <row r="2" spans="1:11" x14ac:dyDescent="0.25">
      <c r="A2" s="25" t="s">
        <v>1</v>
      </c>
      <c r="B2" s="27" t="s">
        <v>1</v>
      </c>
      <c r="C2" s="27" t="s">
        <v>1</v>
      </c>
      <c r="D2" s="27" t="s">
        <v>1</v>
      </c>
      <c r="E2" s="27" t="s">
        <v>1</v>
      </c>
      <c r="F2" s="27" t="s">
        <v>1</v>
      </c>
      <c r="G2" s="27" t="s">
        <v>1</v>
      </c>
      <c r="H2" s="27" t="s">
        <v>1</v>
      </c>
      <c r="I2" s="27" t="s">
        <v>1</v>
      </c>
      <c r="J2" s="27" t="s">
        <v>1</v>
      </c>
      <c r="K2" s="26" t="s">
        <v>1</v>
      </c>
    </row>
    <row r="3" spans="1:11" x14ac:dyDescent="0.25">
      <c r="A3" s="3" t="s">
        <v>298</v>
      </c>
      <c r="B3" s="20" t="s">
        <v>298</v>
      </c>
      <c r="C3" s="20" t="s">
        <v>298</v>
      </c>
      <c r="D3" s="20" t="s">
        <v>298</v>
      </c>
      <c r="E3" s="20" t="s">
        <v>298</v>
      </c>
      <c r="F3" s="20" t="s">
        <v>298</v>
      </c>
      <c r="G3" s="20" t="s">
        <v>298</v>
      </c>
      <c r="H3" s="20" t="s">
        <v>298</v>
      </c>
      <c r="I3" s="20" t="s">
        <v>298</v>
      </c>
      <c r="J3" s="20" t="s">
        <v>298</v>
      </c>
      <c r="K3" s="23" t="s">
        <v>298</v>
      </c>
    </row>
    <row r="4" spans="1:11" x14ac:dyDescent="0.25">
      <c r="A4" s="35" t="s">
        <v>299</v>
      </c>
      <c r="B4" s="35" t="s">
        <v>300</v>
      </c>
      <c r="C4" s="35" t="s">
        <v>301</v>
      </c>
      <c r="D4" s="35" t="s">
        <v>302</v>
      </c>
      <c r="E4" s="35" t="s">
        <v>303</v>
      </c>
      <c r="F4" s="35" t="s">
        <v>4</v>
      </c>
      <c r="G4" s="35" t="s">
        <v>304</v>
      </c>
      <c r="H4" s="35" t="s">
        <v>305</v>
      </c>
      <c r="I4" s="35" t="s">
        <v>306</v>
      </c>
      <c r="J4" s="35" t="s">
        <v>307</v>
      </c>
      <c r="K4" s="35" t="s">
        <v>308</v>
      </c>
    </row>
    <row r="5" spans="1:11" x14ac:dyDescent="0.25">
      <c r="A5" s="49" t="s">
        <v>309</v>
      </c>
      <c r="B5" s="37" t="s">
        <v>29</v>
      </c>
      <c r="C5" s="49" t="s">
        <v>310</v>
      </c>
      <c r="D5" s="49"/>
      <c r="E5" s="49" t="s">
        <v>311</v>
      </c>
      <c r="F5" s="49" t="s">
        <v>310</v>
      </c>
      <c r="G5" s="49" t="s">
        <v>284</v>
      </c>
      <c r="H5" s="32">
        <v>5817.7</v>
      </c>
      <c r="I5" s="32">
        <v>5819.7830000000004</v>
      </c>
      <c r="J5" s="32">
        <v>2.0830000000007001</v>
      </c>
      <c r="K5" s="40">
        <v>0.174119084362198</v>
      </c>
    </row>
    <row r="6" spans="1:11" x14ac:dyDescent="0.25">
      <c r="B6" s="37" t="s">
        <v>36</v>
      </c>
      <c r="C6" s="49" t="s">
        <v>312</v>
      </c>
      <c r="D6" s="49"/>
      <c r="E6" s="49" t="s">
        <v>311</v>
      </c>
      <c r="F6" s="49" t="s">
        <v>313</v>
      </c>
      <c r="G6" s="49" t="s">
        <v>284</v>
      </c>
      <c r="H6" s="32">
        <v>5818.28</v>
      </c>
      <c r="I6" s="32">
        <v>5821</v>
      </c>
      <c r="J6" s="32">
        <v>2.71999999999991</v>
      </c>
      <c r="K6" s="40">
        <v>2.5185084444544401</v>
      </c>
    </row>
    <row r="7" spans="1:11" x14ac:dyDescent="0.25">
      <c r="A7" s="69" t="s">
        <v>314</v>
      </c>
      <c r="J7" s="70">
        <v>4.8030000000006101</v>
      </c>
      <c r="K7" s="71">
        <v>2.6926275288166299</v>
      </c>
    </row>
    <row r="9" spans="1:11" x14ac:dyDescent="0.25">
      <c r="A9" s="49" t="s">
        <v>315</v>
      </c>
      <c r="B9" s="37" t="s">
        <v>29</v>
      </c>
      <c r="C9" s="49" t="s">
        <v>316</v>
      </c>
      <c r="D9" s="49"/>
      <c r="E9" s="49" t="s">
        <v>311</v>
      </c>
      <c r="F9" s="49" t="s">
        <v>316</v>
      </c>
      <c r="G9" s="49" t="s">
        <v>284</v>
      </c>
      <c r="H9" s="32">
        <v>5813.83</v>
      </c>
      <c r="I9" s="32">
        <v>5816.9129999999996</v>
      </c>
      <c r="J9" s="32">
        <v>3.0829999999999398</v>
      </c>
      <c r="K9" s="40">
        <v>0.60264403292179902</v>
      </c>
    </row>
    <row r="10" spans="1:11" x14ac:dyDescent="0.25">
      <c r="B10" s="37" t="s">
        <v>44</v>
      </c>
      <c r="C10" s="49" t="s">
        <v>317</v>
      </c>
      <c r="D10" s="49"/>
      <c r="E10" s="49" t="s">
        <v>311</v>
      </c>
      <c r="F10" s="49" t="s">
        <v>318</v>
      </c>
      <c r="G10" s="49" t="s">
        <v>284</v>
      </c>
      <c r="H10" s="32">
        <v>5814.62</v>
      </c>
      <c r="I10" s="32">
        <v>5818.66</v>
      </c>
      <c r="J10" s="32">
        <v>4.0400000000002798</v>
      </c>
      <c r="K10" s="40">
        <v>11.970370370371199</v>
      </c>
    </row>
    <row r="11" spans="1:11" x14ac:dyDescent="0.25">
      <c r="A11" s="69" t="s">
        <v>314</v>
      </c>
      <c r="J11" s="70">
        <v>7.1230000000002196</v>
      </c>
      <c r="K11" s="71">
        <v>12.573014403293</v>
      </c>
    </row>
    <row r="13" spans="1:11" x14ac:dyDescent="0.25">
      <c r="A13" s="49" t="s">
        <v>319</v>
      </c>
      <c r="B13" s="37" t="s">
        <v>29</v>
      </c>
      <c r="C13" s="49" t="s">
        <v>320</v>
      </c>
      <c r="D13" s="49" t="s">
        <v>321</v>
      </c>
      <c r="E13" s="49" t="s">
        <v>311</v>
      </c>
      <c r="F13" s="49" t="s">
        <v>322</v>
      </c>
      <c r="G13" s="49" t="s">
        <v>294</v>
      </c>
      <c r="H13" s="32">
        <v>5825.07</v>
      </c>
      <c r="I13" s="32">
        <v>5829.92</v>
      </c>
      <c r="J13" s="32">
        <v>4.8499999999998398</v>
      </c>
      <c r="K13" s="40">
        <v>5.0788878076911503</v>
      </c>
    </row>
    <row r="14" spans="1:11" x14ac:dyDescent="0.25">
      <c r="B14" s="37" t="s">
        <v>49</v>
      </c>
      <c r="C14" s="49" t="s">
        <v>323</v>
      </c>
      <c r="D14" s="49" t="s">
        <v>324</v>
      </c>
      <c r="E14" s="49" t="s">
        <v>311</v>
      </c>
      <c r="F14" s="49" t="s">
        <v>324</v>
      </c>
      <c r="G14" s="49" t="s">
        <v>284</v>
      </c>
      <c r="H14" s="32">
        <v>5825.33</v>
      </c>
      <c r="I14" s="32">
        <v>5830.24</v>
      </c>
      <c r="J14" s="32">
        <v>4.90999999999958</v>
      </c>
      <c r="K14" s="40">
        <v>11.8203703703694</v>
      </c>
    </row>
    <row r="15" spans="1:11" x14ac:dyDescent="0.25">
      <c r="A15" s="69" t="s">
        <v>314</v>
      </c>
      <c r="J15" s="70">
        <v>9.7599999999994207</v>
      </c>
      <c r="K15" s="71">
        <v>16.899258178060499</v>
      </c>
    </row>
    <row r="17" spans="1:11" x14ac:dyDescent="0.25">
      <c r="A17" s="49" t="s">
        <v>325</v>
      </c>
      <c r="B17" s="37" t="s">
        <v>29</v>
      </c>
      <c r="C17" s="49" t="s">
        <v>326</v>
      </c>
      <c r="D17" s="49" t="s">
        <v>327</v>
      </c>
      <c r="E17" s="49" t="s">
        <v>311</v>
      </c>
      <c r="F17" s="49" t="s">
        <v>322</v>
      </c>
      <c r="G17" s="49" t="s">
        <v>294</v>
      </c>
      <c r="H17" s="32">
        <v>5815.72</v>
      </c>
      <c r="I17" s="32">
        <v>5820.5</v>
      </c>
      <c r="J17" s="32">
        <v>4.7799999999996299</v>
      </c>
      <c r="K17" s="40">
        <v>5.0055842723222002</v>
      </c>
    </row>
    <row r="18" spans="1:11" x14ac:dyDescent="0.25">
      <c r="B18" s="37" t="s">
        <v>52</v>
      </c>
      <c r="C18" s="49" t="s">
        <v>328</v>
      </c>
      <c r="D18" s="49"/>
      <c r="E18" s="49" t="s">
        <v>311</v>
      </c>
      <c r="F18" s="49" t="s">
        <v>318</v>
      </c>
      <c r="G18" s="49" t="s">
        <v>284</v>
      </c>
      <c r="H18" s="32">
        <v>5816.8</v>
      </c>
      <c r="I18" s="32">
        <v>5821</v>
      </c>
      <c r="J18" s="32">
        <v>4.1999999999993598</v>
      </c>
      <c r="K18" s="40">
        <v>12.4444444444425</v>
      </c>
    </row>
    <row r="19" spans="1:11" x14ac:dyDescent="0.25">
      <c r="A19" s="69" t="s">
        <v>314</v>
      </c>
      <c r="J19" s="70">
        <v>8.9799999999989897</v>
      </c>
      <c r="K19" s="71">
        <v>17.450028716764699</v>
      </c>
    </row>
    <row r="21" spans="1:11" x14ac:dyDescent="0.25">
      <c r="A21" s="49" t="s">
        <v>329</v>
      </c>
      <c r="B21" s="37" t="s">
        <v>54</v>
      </c>
      <c r="C21" s="49" t="s">
        <v>330</v>
      </c>
      <c r="D21" s="49"/>
      <c r="E21" s="49" t="s">
        <v>311</v>
      </c>
      <c r="F21" s="49" t="s">
        <v>331</v>
      </c>
      <c r="G21" s="49" t="s">
        <v>282</v>
      </c>
      <c r="H21" s="32">
        <v>5813.6</v>
      </c>
      <c r="I21" s="41"/>
      <c r="J21" s="41"/>
      <c r="K21" s="72" t="s">
        <v>332</v>
      </c>
    </row>
    <row r="22" spans="1:11" x14ac:dyDescent="0.25">
      <c r="B22" s="37" t="s">
        <v>63</v>
      </c>
      <c r="C22" s="49" t="s">
        <v>316</v>
      </c>
      <c r="D22" s="49"/>
      <c r="E22" s="73" t="s">
        <v>333</v>
      </c>
      <c r="F22" s="49" t="s">
        <v>316</v>
      </c>
      <c r="G22" s="49" t="s">
        <v>284</v>
      </c>
      <c r="H22" s="32">
        <v>5813.83</v>
      </c>
      <c r="I22" s="32">
        <v>5816.9129999999996</v>
      </c>
      <c r="J22" s="72" t="s">
        <v>332</v>
      </c>
      <c r="K22" s="72" t="s">
        <v>332</v>
      </c>
    </row>
    <row r="23" spans="1:11" x14ac:dyDescent="0.25">
      <c r="B23" s="37" t="s">
        <v>71</v>
      </c>
      <c r="C23" s="49" t="s">
        <v>334</v>
      </c>
      <c r="D23" s="49" t="s">
        <v>321</v>
      </c>
      <c r="E23" s="49" t="s">
        <v>311</v>
      </c>
      <c r="F23" s="49" t="s">
        <v>322</v>
      </c>
      <c r="G23" s="49" t="s">
        <v>294</v>
      </c>
      <c r="H23" s="32">
        <v>5814.04</v>
      </c>
      <c r="I23" s="32">
        <v>5819.62</v>
      </c>
      <c r="J23" s="32">
        <v>5.5799999999994796</v>
      </c>
      <c r="K23" s="40">
        <v>5.8433389622504999</v>
      </c>
    </row>
    <row r="24" spans="1:11" x14ac:dyDescent="0.25">
      <c r="B24" s="37" t="s">
        <v>94</v>
      </c>
      <c r="C24" s="49" t="s">
        <v>320</v>
      </c>
      <c r="D24" s="49" t="s">
        <v>321</v>
      </c>
      <c r="E24" s="73" t="s">
        <v>333</v>
      </c>
      <c r="F24" s="49" t="s">
        <v>322</v>
      </c>
      <c r="G24" s="49" t="s">
        <v>294</v>
      </c>
      <c r="H24" s="32">
        <v>5825.07</v>
      </c>
      <c r="I24" s="32">
        <v>5829.92</v>
      </c>
      <c r="J24" s="72" t="s">
        <v>332</v>
      </c>
      <c r="K24" s="72" t="s">
        <v>332</v>
      </c>
    </row>
    <row r="25" spans="1:11" x14ac:dyDescent="0.25">
      <c r="B25" s="37" t="s">
        <v>107</v>
      </c>
      <c r="C25" s="49" t="s">
        <v>335</v>
      </c>
      <c r="D25" s="49" t="s">
        <v>336</v>
      </c>
      <c r="E25" s="49" t="s">
        <v>311</v>
      </c>
      <c r="F25" s="49" t="s">
        <v>337</v>
      </c>
      <c r="G25" s="49" t="s">
        <v>284</v>
      </c>
      <c r="H25" s="32">
        <v>5828.76</v>
      </c>
      <c r="I25" s="32">
        <v>5831</v>
      </c>
      <c r="J25" s="32">
        <v>2.2399999999997098</v>
      </c>
      <c r="K25" s="40">
        <v>2.4888888888885599</v>
      </c>
    </row>
    <row r="26" spans="1:11" x14ac:dyDescent="0.25">
      <c r="A26" s="69" t="s">
        <v>314</v>
      </c>
      <c r="J26" s="70">
        <v>7.8199999999991796</v>
      </c>
      <c r="K26" s="71">
        <v>8.3322278511390593</v>
      </c>
    </row>
    <row r="28" spans="1:11" x14ac:dyDescent="0.25">
      <c r="A28" s="49" t="s">
        <v>338</v>
      </c>
      <c r="B28" s="37" t="s">
        <v>110</v>
      </c>
      <c r="C28" s="49" t="s">
        <v>334</v>
      </c>
      <c r="D28" s="49" t="s">
        <v>321</v>
      </c>
      <c r="E28" s="73" t="s">
        <v>333</v>
      </c>
      <c r="F28" s="49" t="s">
        <v>322</v>
      </c>
      <c r="G28" s="49" t="s">
        <v>294</v>
      </c>
      <c r="H28" s="32">
        <v>5814.04</v>
      </c>
      <c r="I28" s="32">
        <v>5819.62</v>
      </c>
      <c r="J28" s="72" t="s">
        <v>332</v>
      </c>
      <c r="K28" s="72" t="s">
        <v>332</v>
      </c>
    </row>
    <row r="29" spans="1:11" x14ac:dyDescent="0.25">
      <c r="B29" s="37" t="s">
        <v>117</v>
      </c>
      <c r="C29" s="49" t="s">
        <v>326</v>
      </c>
      <c r="D29" s="49" t="s">
        <v>327</v>
      </c>
      <c r="E29" s="73" t="s">
        <v>333</v>
      </c>
      <c r="F29" s="49" t="s">
        <v>322</v>
      </c>
      <c r="G29" s="49" t="s">
        <v>294</v>
      </c>
      <c r="H29" s="32">
        <v>5815.72</v>
      </c>
      <c r="I29" s="32">
        <v>5820.5</v>
      </c>
      <c r="J29" s="72" t="s">
        <v>332</v>
      </c>
      <c r="K29" s="72" t="s">
        <v>332</v>
      </c>
    </row>
    <row r="30" spans="1:11" x14ac:dyDescent="0.25">
      <c r="B30" s="37" t="s">
        <v>125</v>
      </c>
      <c r="C30" s="49" t="s">
        <v>310</v>
      </c>
      <c r="D30" s="49"/>
      <c r="E30" s="73" t="s">
        <v>333</v>
      </c>
      <c r="F30" s="49" t="s">
        <v>310</v>
      </c>
      <c r="G30" s="49" t="s">
        <v>284</v>
      </c>
      <c r="H30" s="32">
        <v>5817.7</v>
      </c>
      <c r="I30" s="32">
        <v>5819.7830000000004</v>
      </c>
      <c r="J30" s="72" t="s">
        <v>332</v>
      </c>
      <c r="K30" s="72" t="s">
        <v>332</v>
      </c>
    </row>
    <row r="31" spans="1:11" x14ac:dyDescent="0.25">
      <c r="B31" s="37" t="s">
        <v>136</v>
      </c>
      <c r="C31" s="49" t="s">
        <v>339</v>
      </c>
      <c r="D31" s="49"/>
      <c r="E31" s="49" t="s">
        <v>311</v>
      </c>
      <c r="F31" s="49" t="s">
        <v>310</v>
      </c>
      <c r="G31" s="49" t="s">
        <v>284</v>
      </c>
      <c r="H31" s="32">
        <v>5821.97</v>
      </c>
      <c r="I31" s="32">
        <v>5824.0529999999999</v>
      </c>
      <c r="J31" s="32">
        <v>2.08299999999995</v>
      </c>
      <c r="K31" s="40">
        <v>0.174119084362136</v>
      </c>
    </row>
    <row r="32" spans="1:11" x14ac:dyDescent="0.25">
      <c r="B32" s="37" t="s">
        <v>141</v>
      </c>
      <c r="C32" s="49" t="s">
        <v>340</v>
      </c>
      <c r="D32" s="49"/>
      <c r="E32" s="49" t="s">
        <v>311</v>
      </c>
      <c r="F32" s="49" t="s">
        <v>341</v>
      </c>
      <c r="G32" s="49" t="s">
        <v>284</v>
      </c>
      <c r="H32" s="32">
        <v>5822.33</v>
      </c>
      <c r="I32" s="32">
        <v>5828.26</v>
      </c>
      <c r="J32" s="32">
        <v>5.9300000000004802</v>
      </c>
      <c r="K32" s="40">
        <v>20.864814814816501</v>
      </c>
    </row>
    <row r="33" spans="1:11" x14ac:dyDescent="0.25">
      <c r="B33" s="37" t="s">
        <v>148</v>
      </c>
      <c r="C33" s="49" t="s">
        <v>342</v>
      </c>
      <c r="D33" s="49"/>
      <c r="E33" s="49" t="s">
        <v>311</v>
      </c>
      <c r="F33" s="49" t="s">
        <v>310</v>
      </c>
      <c r="G33" s="49" t="s">
        <v>284</v>
      </c>
      <c r="H33" s="32">
        <v>5823.98</v>
      </c>
      <c r="I33" s="32">
        <v>5824.98</v>
      </c>
      <c r="J33" s="32">
        <v>0.99999999999998901</v>
      </c>
      <c r="K33" s="40">
        <v>8.3590534979422995E-2</v>
      </c>
    </row>
    <row r="34" spans="1:11" x14ac:dyDescent="0.25">
      <c r="B34" s="37" t="s">
        <v>154</v>
      </c>
      <c r="C34" s="49" t="s">
        <v>343</v>
      </c>
      <c r="D34" s="49"/>
      <c r="E34" s="49" t="s">
        <v>311</v>
      </c>
      <c r="F34" s="49" t="s">
        <v>313</v>
      </c>
      <c r="G34" s="49" t="s">
        <v>284</v>
      </c>
      <c r="H34" s="32">
        <v>5824.5</v>
      </c>
      <c r="I34" s="32">
        <v>5827.35</v>
      </c>
      <c r="J34" s="32">
        <v>2.8499999999998602</v>
      </c>
      <c r="K34" s="40">
        <v>2.6388783333437602</v>
      </c>
    </row>
    <row r="35" spans="1:11" x14ac:dyDescent="0.25">
      <c r="A35" s="69" t="s">
        <v>314</v>
      </c>
      <c r="J35" s="70">
        <v>11.8630000000003</v>
      </c>
      <c r="K35" s="71">
        <v>23.761402767501799</v>
      </c>
    </row>
    <row r="37" spans="1:11" x14ac:dyDescent="0.25">
      <c r="A37" s="49" t="s">
        <v>344</v>
      </c>
      <c r="B37" s="37" t="s">
        <v>156</v>
      </c>
      <c r="C37" s="49" t="s">
        <v>345</v>
      </c>
      <c r="D37" s="49"/>
      <c r="E37" s="49" t="s">
        <v>311</v>
      </c>
      <c r="F37" s="49" t="s">
        <v>331</v>
      </c>
      <c r="G37" s="49" t="s">
        <v>282</v>
      </c>
      <c r="H37" s="32">
        <v>5812.7</v>
      </c>
      <c r="I37" s="41"/>
      <c r="J37" s="41"/>
      <c r="K37" s="72" t="s">
        <v>332</v>
      </c>
    </row>
    <row r="38" spans="1:11" x14ac:dyDescent="0.25">
      <c r="B38" s="37" t="s">
        <v>163</v>
      </c>
      <c r="C38" s="49" t="s">
        <v>346</v>
      </c>
      <c r="D38" s="49"/>
      <c r="E38" s="49" t="s">
        <v>311</v>
      </c>
      <c r="F38" s="49" t="s">
        <v>347</v>
      </c>
      <c r="G38" s="49" t="s">
        <v>284</v>
      </c>
      <c r="H38" s="32">
        <v>5812.9</v>
      </c>
      <c r="I38" s="32">
        <v>5815.9</v>
      </c>
      <c r="J38" s="32">
        <v>2.9999999999999698</v>
      </c>
      <c r="K38" s="40">
        <v>1.11419753086419</v>
      </c>
    </row>
    <row r="39" spans="1:11" x14ac:dyDescent="0.25">
      <c r="B39" s="37" t="s">
        <v>181</v>
      </c>
      <c r="C39" s="49" t="s">
        <v>348</v>
      </c>
      <c r="D39" s="49"/>
      <c r="E39" s="49" t="s">
        <v>311</v>
      </c>
      <c r="F39" s="49" t="s">
        <v>337</v>
      </c>
      <c r="G39" s="49" t="s">
        <v>284</v>
      </c>
      <c r="H39" s="32">
        <v>5822</v>
      </c>
      <c r="I39" s="32">
        <v>5827</v>
      </c>
      <c r="J39" s="32">
        <v>4.9999999999999396</v>
      </c>
      <c r="K39" s="40">
        <v>5.5555555555555003</v>
      </c>
    </row>
    <row r="40" spans="1:11" x14ac:dyDescent="0.25">
      <c r="A40" s="69" t="s">
        <v>314</v>
      </c>
      <c r="J40" s="70">
        <v>7.9999999999999103</v>
      </c>
      <c r="K40" s="71">
        <v>6.6697530864196803</v>
      </c>
    </row>
    <row r="42" spans="1:11" x14ac:dyDescent="0.25">
      <c r="A42" s="49" t="s">
        <v>349</v>
      </c>
      <c r="B42" s="37" t="s">
        <v>183</v>
      </c>
      <c r="C42" s="49" t="s">
        <v>350</v>
      </c>
      <c r="D42" s="49"/>
      <c r="E42" s="49" t="s">
        <v>311</v>
      </c>
      <c r="F42" s="49" t="s">
        <v>351</v>
      </c>
      <c r="G42" s="49" t="s">
        <v>294</v>
      </c>
      <c r="H42" s="32">
        <v>5806.05</v>
      </c>
      <c r="I42" s="32">
        <v>5810.3</v>
      </c>
      <c r="J42" s="32">
        <v>4.2500000000001403</v>
      </c>
      <c r="K42" s="40">
        <v>6.0577227145002999</v>
      </c>
    </row>
    <row r="43" spans="1:11" x14ac:dyDescent="0.25">
      <c r="B43" s="37" t="s">
        <v>194</v>
      </c>
      <c r="C43" s="49" t="s">
        <v>352</v>
      </c>
      <c r="D43" s="49"/>
      <c r="E43" s="49" t="s">
        <v>311</v>
      </c>
      <c r="F43" s="49" t="s">
        <v>351</v>
      </c>
      <c r="G43" s="49" t="s">
        <v>294</v>
      </c>
      <c r="H43" s="32">
        <v>5807.02</v>
      </c>
      <c r="I43" s="32">
        <v>5811.6</v>
      </c>
      <c r="J43" s="32">
        <v>4.5800000000002301</v>
      </c>
      <c r="K43" s="40">
        <v>6.5280870664498503</v>
      </c>
    </row>
    <row r="44" spans="1:11" x14ac:dyDescent="0.25">
      <c r="B44" s="37" t="s">
        <v>200</v>
      </c>
      <c r="C44" s="49" t="s">
        <v>353</v>
      </c>
      <c r="D44" s="49"/>
      <c r="E44" s="49" t="s">
        <v>311</v>
      </c>
      <c r="F44" s="49" t="s">
        <v>351</v>
      </c>
      <c r="G44" s="49" t="s">
        <v>294</v>
      </c>
      <c r="H44" s="32">
        <v>5810.05</v>
      </c>
      <c r="I44" s="32">
        <v>5816.9</v>
      </c>
      <c r="J44" s="32">
        <v>6.8499999999998096</v>
      </c>
      <c r="K44" s="40">
        <v>9.7636236692528406</v>
      </c>
    </row>
    <row r="45" spans="1:11" x14ac:dyDescent="0.25">
      <c r="B45" s="37" t="s">
        <v>207</v>
      </c>
      <c r="C45" s="49" t="s">
        <v>354</v>
      </c>
      <c r="D45" s="49"/>
      <c r="E45" s="49" t="s">
        <v>311</v>
      </c>
      <c r="F45" s="49" t="s">
        <v>355</v>
      </c>
      <c r="G45" s="49" t="s">
        <v>284</v>
      </c>
      <c r="H45" s="32">
        <v>5811.38</v>
      </c>
      <c r="I45" s="32">
        <v>5814.38</v>
      </c>
      <c r="J45" s="32">
        <v>2.9999999999999698</v>
      </c>
      <c r="K45" s="40">
        <v>9.6789736296682403</v>
      </c>
    </row>
    <row r="46" spans="1:11" x14ac:dyDescent="0.25">
      <c r="A46" s="69" t="s">
        <v>314</v>
      </c>
      <c r="J46" s="70">
        <v>18.680000000000199</v>
      </c>
      <c r="K46" s="71">
        <v>32.028407079871201</v>
      </c>
    </row>
    <row r="48" spans="1:11" x14ac:dyDescent="0.25">
      <c r="D48" s="74" t="s">
        <v>280</v>
      </c>
      <c r="E48" s="74">
        <v>22</v>
      </c>
      <c r="H48" s="2" t="s">
        <v>277</v>
      </c>
      <c r="I48" s="1" t="s">
        <v>277</v>
      </c>
      <c r="J48" s="75">
        <v>77.028999999998803</v>
      </c>
      <c r="K48" s="71">
        <v>120.406719611867</v>
      </c>
    </row>
  </sheetData>
  <mergeCells count="4">
    <mergeCell ref="A1:K1"/>
    <mergeCell ref="A2:K2"/>
    <mergeCell ref="A3:K3"/>
    <mergeCell ref="H48:I48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Line Summary</vt:lpstr>
      <vt:lpstr>Line Takeoff</vt:lpstr>
      <vt:lpstr>Calculations</vt:lpstr>
      <vt:lpstr>Node Summary</vt:lpstr>
      <vt:lpstr>Node Takeoff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Clayton W. Phillips</dc:creator>
  <cp:lastModifiedBy>Clayton Phillips</cp:lastModifiedBy>
  <dcterms:created xsi:type="dcterms:W3CDTF">2018-10-23T20:29:11Z</dcterms:created>
  <dcterms:modified xsi:type="dcterms:W3CDTF">2018-10-23T21:03:30Z</dcterms:modified>
</cp:coreProperties>
</file>